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mart working da marzo 2020\SMART WORKING\CARENZE\PUBBLICAZIONI\"/>
    </mc:Choice>
  </mc:AlternateContent>
  <xr:revisionPtr revIDLastSave="0" documentId="13_ncr:1_{377FE008-6387-4411-81BE-FDC02E2563D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Carenze" sheetId="1" r:id="rId1"/>
  </sheets>
  <calcPr calcId="191029"/>
</workbook>
</file>

<file path=xl/calcChain.xml><?xml version="1.0" encoding="utf-8"?>
<calcChain xmlns="http://schemas.openxmlformats.org/spreadsheetml/2006/main">
  <c r="B288" i="1" l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<sst xmlns="http://schemas.openxmlformats.org/spreadsheetml/2006/main" count="2034" uniqueCount="787">
  <si>
    <t>NB: I medicinali carenti, per i quali il Titolare AIC non abbia provveduto a comunicare la data effettiva di fine carenza, continueranno ad essere presenti nella “Lista dei farmaci temporaneamente carenti”, anche oltre la “data di fine presunta” inizialmente comunicata e indicata nella presente lista</t>
  </si>
  <si>
    <t>Nome medicinale</t>
  </si>
  <si>
    <t>Codice AIC</t>
  </si>
  <si>
    <t>Principio attivo</t>
  </si>
  <si>
    <t>Forma farmaceutica e dosaggio</t>
  </si>
  <si>
    <t>Titolare AIC</t>
  </si>
  <si>
    <t>Data inizio</t>
  </si>
  <si>
    <t>Fine presunta</t>
  </si>
  <si>
    <t>Equivalente</t>
  </si>
  <si>
    <t>Motivazioni</t>
  </si>
  <si>
    <t>Suggerimenti/Indicazioni AIFA</t>
  </si>
  <si>
    <t>Nota AIFA</t>
  </si>
  <si>
    <t>ABSTRAL</t>
  </si>
  <si>
    <t>FENTANIL CITRATO</t>
  </si>
  <si>
    <t>"300 MCG COMPRESSE SUBLINGUALI" 10 COMPRESSE IN BLISTER OPA/PVC/AL/AL</t>
  </si>
  <si>
    <t>KYOWA KIRIN HOLDINGS B.V.</t>
  </si>
  <si>
    <t>No</t>
  </si>
  <si>
    <t>Problemi produttivi: distribuzione contingentata</t>
  </si>
  <si>
    <t>Si rilascia autorizzazione all’importazione alle strutture sanitarie per analogo autorizzato all’estero-Ministero della Salute – Ufficio Centrale Stupefacenti – Fax 06 5994 3226</t>
  </si>
  <si>
    <t>"400 MCG COMPRESSE SUBLINGUALI" 10 COMPRESSE IN BLISTER OPA/PVC/AL/AL</t>
  </si>
  <si>
    <t>Problemi produttivi</t>
  </si>
  <si>
    <t>"600 MCG COMPRESSE SUBLINGUALI" 10 COMPRESSE IN BLISTER OPA/PVC/AL/AL</t>
  </si>
  <si>
    <t>ADALAT CRONO</t>
  </si>
  <si>
    <t>NIFEDIPINA</t>
  </si>
  <si>
    <t>"30 MG COMPRESSE A RILASCIO MODIFICATO" 14 COMPRESSE</t>
  </si>
  <si>
    <t>BAYER S.P.A.</t>
  </si>
  <si>
    <t>Sì</t>
  </si>
  <si>
    <t>Problemi produttivi: forniture discontinue</t>
  </si>
  <si>
    <t>Si rilascia autorizzazione all’importazione alle strutture sanitarie per analogo autorizzato all’estero, nel caso in cui le strutture interessate riscontrino discontinuità nella fornitura, a livello delle reti distributive cui hanno accesso</t>
  </si>
  <si>
    <t>la distribuzione delle confezioni disponibili viene gestita in modalità contingentata</t>
  </si>
  <si>
    <t>"60 MG COMPRESSE A RILASCIO MODIFICATO" 14 COMPRESSE</t>
  </si>
  <si>
    <t>Cessata commercializzazione permanente</t>
  </si>
  <si>
    <t>Si rilascia autorizzazione all’importazione alle strutture sanitarie per analogo autorizzato all’estero</t>
  </si>
  <si>
    <t>"20 MG COMPRESSE A RILASCIO MODIFICATO" 14 COMPRESSE</t>
  </si>
  <si>
    <t>ADENOSINA AHCL</t>
  </si>
  <si>
    <t>ADENOSINA</t>
  </si>
  <si>
    <t>"30 MG/10 ML SOLUZIONE PER INFUSIONE" 6 FLACONCINI IN VETRO DA 10 ML</t>
  </si>
  <si>
    <t>ACCORD HEALTHCARE, S.L.U.</t>
  </si>
  <si>
    <t>ADYNOVI</t>
  </si>
  <si>
    <t>RURIOCTOCOG ALFA PEGOL</t>
  </si>
  <si>
    <t>500 UI - POLVERE E SOLVENTE PER SOLUZIONE INIETTABILE - USO ENDOVENOSO - POLVERE: FLACONCINO (VETRO); SOLVENTE: FLACONCINO (VETRO) - POLVERE: 500 UI; SOLVENTE: 2 ML (250 UI/ML) - 1 FLACONCINO + 1 FLACONCINO, PREASSEMBLATI CON DISPOSITIVO PER RICOSTRUZIONE</t>
  </si>
  <si>
    <t>BAXALTA INNOVATIONS GMBH</t>
  </si>
  <si>
    <t>Elevata richiesta</t>
  </si>
  <si>
    <t>AGGRENOX</t>
  </si>
  <si>
    <t>DIPIRIDAMOLO/ACIDO ACETILSALICILICO</t>
  </si>
  <si>
    <t>"200 MG + 25 MG CAPSULE RIGIDE A RILASCIO MODIFICATO" 60 CAPSULE</t>
  </si>
  <si>
    <t>BOEHRINGER INGELHEIM ITALIA S.P.A.</t>
  </si>
  <si>
    <t>ALFA KAPPA</t>
  </si>
  <si>
    <t>AMINOACIDI KETOANALOGHI/AMINOACIDI</t>
  </si>
  <si>
    <t>"COMPRESSE RIVESTITE" 100 COMPRESSE</t>
  </si>
  <si>
    <t>FRESENIUS KABI ITALIA S.R.L.</t>
  </si>
  <si>
    <t>Rilasciata determinazione per l’importazione al titolare A.I.C.</t>
  </si>
  <si>
    <t>ALKERAN</t>
  </si>
  <si>
    <t>MELFALAN</t>
  </si>
  <si>
    <t>"50 MG/10 ML POLVERE E SOLVENTE PER SOLUZIONE INIETTABILE" 1 FLACONCINO POLVERE + 1 FLACONCINO SOLVENTE DA 10 ML</t>
  </si>
  <si>
    <t>ASPEN PHARMA TRADING LIMITED</t>
  </si>
  <si>
    <t>ALPHANINE</t>
  </si>
  <si>
    <t>FATTORE IX DELLA COAGULAZIONE</t>
  </si>
  <si>
    <t>" 1500 UI/10 ML POLVERE E SOLVENTE PER SOLUZIONE PER INFUSIONE " FLACONE POLVERE + SIRINGA PRERIEMPITA DI SOLVENTE DA 10 ML + ADATTATORE</t>
  </si>
  <si>
    <t>GRIFOLS ITALIA S.P.A.</t>
  </si>
  <si>
    <t>AMOXICILLINA E ACIDO CLAVULANICO SANDOZ A/S</t>
  </si>
  <si>
    <t>ACIDO CLAVULANICO + AMOXICILLINA</t>
  </si>
  <si>
    <t>"1000 MG/200 MG POLVERE PER SOLUZIONE INIETTABILE/INFUSIONE" 1 FLACONCINO IN VETRO</t>
  </si>
  <si>
    <t>SANDOZ A/S</t>
  </si>
  <si>
    <t>"2000 MG/200 MG POLVERE PER SOLUZIONE PER INFUSIONE" 1 FLACONCINO IN VETRO</t>
  </si>
  <si>
    <t>AMOXICILLINA SODICA K24 PHARMACEUTICALS</t>
  </si>
  <si>
    <t>AMOXICILLINA SODICA</t>
  </si>
  <si>
    <t>" 1 G POLVERE PER SOLUZIONE INIETTABILE" 50 FLACONI</t>
  </si>
  <si>
    <t>K24 PHARMACEUTICALS S.R.L.</t>
  </si>
  <si>
    <t>AMPICILLINA BIOPHARMA</t>
  </si>
  <si>
    <t>AMPICILLINA SODICA</t>
  </si>
  <si>
    <t>"500 MG/2,5 ML POLVERE E SOLVENTE PER SOLUZIONE INIETTABILE" 1 FLACONCINO POLVERE + 1 FIALA SOLVENTE DA 2,5 ML</t>
  </si>
  <si>
    <t>BIOPHARMA S.R.L.</t>
  </si>
  <si>
    <t>Cessata commercializzazione temporanea</t>
  </si>
  <si>
    <t>FLAC.NO 250 MG POLVERE SOLUZ INIETT+FIALA SOLV</t>
  </si>
  <si>
    <t>AMPLITAL</t>
  </si>
  <si>
    <t>"500 MG POLVERE E SOLVENTE PER SOLUZIONE INIETTABILE" 1 FLACONCINO  + 1 FIALA 2,5 ML</t>
  </si>
  <si>
    <t>PFIZER ITALIA S.R.L.</t>
  </si>
  <si>
    <t>"1 G POLVERE E SOLVENTE PER SOLUZIONE INIETTABILE" 1 FLACONCINO + 1 FIALA 4 ML</t>
  </si>
  <si>
    <t>ANDRIOL</t>
  </si>
  <si>
    <t>TESTOSTERONE UNDECANOATO</t>
  </si>
  <si>
    <t>" 40 MG CAPSULE MOLLI" 60 CAPSULE</t>
  </si>
  <si>
    <t>MSD ITALIA S.R.L.</t>
  </si>
  <si>
    <t>medicinale attualmente disponibile</t>
  </si>
  <si>
    <t>ANGELIQ</t>
  </si>
  <si>
    <t>ESTRADIOLO EMIIDRATO/DROSPIRENONE</t>
  </si>
  <si>
    <t>1 BLISTER PVC/AL DA 28 COMPRESSE RIVESTITE CON FILM DA 1 MG/2MG</t>
  </si>
  <si>
    <t>ATITEN</t>
  </si>
  <si>
    <t>DIIDROTACHISTEROLO</t>
  </si>
  <si>
    <t>"1 MG/ML GOCCE ORALI, SOLUZIONE" FLACONE 15 ML</t>
  </si>
  <si>
    <t>TEOFARMA S.R.L.</t>
  </si>
  <si>
    <t>ATRACURIUM HAMELN</t>
  </si>
  <si>
    <t>ATRACURIO BESILATO</t>
  </si>
  <si>
    <t>5 FIALE DA 5 ML/10 MG DI SOLUZIONE INIETTABILE PER INFUSIONE</t>
  </si>
  <si>
    <t>HAMELN PHARMA PLUS GMBH</t>
  </si>
  <si>
    <t>Le confezioni importate saranno disponibili presumibilmente a partire dal 15/04/2020; si rilascia autorizzazione all’importazione alle strutture sanitarie per analogo autorizzato all'estero, in attesa della disponibilità delle confezioni importate o nel caso in cui le strutture interessate riscontrino difficoltà a reperire il medicinale importato dal titolare A.I.C.</t>
  </si>
  <si>
    <t>AVAXIM</t>
  </si>
  <si>
    <t>VACCINO EPATITICO A</t>
  </si>
  <si>
    <t>"0,5 ML SOSPENSIONE INIETTABILE" 1 SIRINGA PRERIEMPITA CON 2 AGHI SEPARATI</t>
  </si>
  <si>
    <t>SANOFI PASTEUR</t>
  </si>
  <si>
    <t>AZYLUNG</t>
  </si>
  <si>
    <t>AZITROMICINA</t>
  </si>
  <si>
    <t>" 500 MG POLVERE PER SOLUZIONE PER INFUSIONE" 1 FLACONCINO IN VETRO</t>
  </si>
  <si>
    <t>INCA-PHARM S.R.L.</t>
  </si>
  <si>
    <t>Elevata richiesta/problemi produttivi</t>
  </si>
  <si>
    <t>BEROMUN</t>
  </si>
  <si>
    <t>TASONERMINA</t>
  </si>
  <si>
    <t>1 MG POLVERE E SOLVENTE PER SOLUZIONE PER INFUSIONE 4 FLACONCINI + 4 FIALE</t>
  </si>
  <si>
    <t>BELPHARMA S.A.</t>
  </si>
  <si>
    <t>BICNU</t>
  </si>
  <si>
    <t>CARMUSTINA</t>
  </si>
  <si>
    <t>"100 MG POLVERE E SOLVENTE PER CONCENTRATO PER SOLUZIONE PER INFUSIONE" 1 FLACONCINO IN VETRO DI POLVERE + 1 FLACONCINO IN VETRO DI SOLVENTE DA 5 ML</t>
  </si>
  <si>
    <t>TILLOMED ITALIA SRL</t>
  </si>
  <si>
    <t>BLEOPRIM</t>
  </si>
  <si>
    <t>BLEOMICINA SOLFATO</t>
  </si>
  <si>
    <t>" 15 MG POLVERE PER SOLUZIONE INIETTABILE " 1 FLACONCINO</t>
  </si>
  <si>
    <t>SANOFI S.R.L.</t>
  </si>
  <si>
    <t>Piano di contingentamento delle confezioni disponibili; gli ordini saranno parzialmente evasi dal titolare AIC. Per eventuali scorte di reparto AIFA rilascia autorizzazione all’importazione alle strutture sanitarie per analogo autorizzato all'estero</t>
  </si>
  <si>
    <t>BUCCOLAM</t>
  </si>
  <si>
    <t>MIDAZOLAM</t>
  </si>
  <si>
    <t>"10 MG - SOLUZIONE PER MUCOSA ORALE - PER MUCOSA ORALE - SIRINGA PRERIEMPITA (POLIPROPILENE) - 2 ML" 4 SIRINGHE PRERIEMPITE</t>
  </si>
  <si>
    <t>SHIRE SERVICES BVBA</t>
  </si>
  <si>
    <t>Elevata richiesta: forniture discontinue</t>
  </si>
  <si>
    <t>CATAPRESAN</t>
  </si>
  <si>
    <t>CLONIDINA CLORIDRATO</t>
  </si>
  <si>
    <t>"150 MICROGRAMMI COMPRESSE" 30 COMPRESSE</t>
  </si>
  <si>
    <t>Si rilascia autorizzazione all’importazione alle strutture sanitarie per analogo autorizzato all'estero, nel caso in cui le strutture interessate riscontrino difficoltà a reperire il medicinale importato dal titolare A.I.C.
vedere nota informativa:
https://www.aifa.gov.it/en/-/informazioni-e-aggiornamenti-sull-attuale-disponibilita-dei-medicinali-talofen-catapresan-depakin-chrono-ongentys-e-plaquenil</t>
  </si>
  <si>
    <t>"300 MICROGRAMMI COMPRESSE" 30 COMPRESSE</t>
  </si>
  <si>
    <t>vedere nota informativa:
https://www.aifa.gov.it/en/-/informazioni-e-aggiornamenti-sull-attuale-disponibilita-dei-medicinali-talofen-catapresan-depakin-chrono-ongentys-e-plaquenil</t>
  </si>
  <si>
    <t>CENTRUM</t>
  </si>
  <si>
    <t>CITIDINA/URIDINA</t>
  </si>
  <si>
    <t>"100 MG + 100 MG COMPRESSE" 20 COMPRESSE</t>
  </si>
  <si>
    <t>POLIFARMA S.P.A.</t>
  </si>
  <si>
    <t>"150 MG + 150 MG SOLUZIONE ORALE" 10 FLACONCINI 10 ML</t>
  </si>
  <si>
    <t>CEPIMEX</t>
  </si>
  <si>
    <t>CEFEPIME</t>
  </si>
  <si>
    <t>"500MG/1,5ML POLVERE E SOLVENTE PER SOLUZIONE INIETTABILE" 1 FLACONE POLVERE+ 1 FIALA SOLVENTE 1,5 ML</t>
  </si>
  <si>
    <t>BRUNO FARMACEUTICI S.P.A.</t>
  </si>
  <si>
    <t>CISATRACURIO ACCORD</t>
  </si>
  <si>
    <t>CISATRACURIO BESILATO</t>
  </si>
  <si>
    <t>"2 MG/ML SOLUZIONE INIETTABILE/PER INFUSIONE" 5 FLACONCINI IN VETRO DA 10 ML</t>
  </si>
  <si>
    <t>"5 MG/ML SOLUZIONE INIETTABILE/PER INFUSIONE" 5 FLACONCINI IN VETRO DA 30 ML</t>
  </si>
  <si>
    <t>CLOPIXOL</t>
  </si>
  <si>
    <t>ZUCLOPENTIXOLO DICLORIDRATO</t>
  </si>
  <si>
    <t>"20 MG/ML GOCCE ORALI, SOLUZIONE" FLACONE 10 ML</t>
  </si>
  <si>
    <t>LUNDBECK ITALIA S.P.A.</t>
  </si>
  <si>
    <t>CLOROCHINA BAYER</t>
  </si>
  <si>
    <t>CLOROCHINA DIFOSFATO</t>
  </si>
  <si>
    <t>"250 MG COMPRESSE RIVESTITE"30 COMPRESSE</t>
  </si>
  <si>
    <t>BAYER AG</t>
  </si>
  <si>
    <t>COMTAN</t>
  </si>
  <si>
    <t>ENTACAPONE</t>
  </si>
  <si>
    <t>200 MG CPR FILMRIVESTITA FLAC .VETRO 100 CPR USO ORALE</t>
  </si>
  <si>
    <t>ORION CORPORATION</t>
  </si>
  <si>
    <t>si rilascia autorizzazione all’importazione alle strutture sanitarie per analogo autorizzato all'estero nel caso in cui le strutture interessate riscontrino difficoltà a reperire il medicinale importato dal titolare A.I.C.</t>
  </si>
  <si>
    <t>CREON</t>
  </si>
  <si>
    <t>PANCRELIPASI</t>
  </si>
  <si>
    <t>"25.000 U.PH.EUR. CAPSULE RIGIDE A RILASCIO MODIFICATO" 100 CAPSULE</t>
  </si>
  <si>
    <t>MYLAN ITALIA S.R.L.</t>
  </si>
  <si>
    <t>Elevata richiesta/problemi produttivi: distribuzione contingentata</t>
  </si>
  <si>
    <t>DARUNAVIR EG</t>
  </si>
  <si>
    <t>DARUNAVIR</t>
  </si>
  <si>
    <t>"800 MG COMPRESSE RIVESTITE CON FILM" 30 COMPRESSE IN FLACONE HDPE</t>
  </si>
  <si>
    <t>EG S.P.A.</t>
  </si>
  <si>
    <t>DECADRON</t>
  </si>
  <si>
    <t>DESAMETASONE 21-FOSFATO DISODICO</t>
  </si>
  <si>
    <t>"0,75 MG COMPRESSE" 20 COMPRESSE IN BLISTER PVC/AL</t>
  </si>
  <si>
    <t>I.B.N. SAVIO S.R.L</t>
  </si>
  <si>
    <t>"0,5 MG COMPRESSE" 20 COMPRESSE IN BLISTER PVC/AL</t>
  </si>
  <si>
    <t>DEPOCYTE</t>
  </si>
  <si>
    <t>CITARABINA CLORIDRATO</t>
  </si>
  <si>
    <t>1 FLACONCINO DA 5 ML</t>
  </si>
  <si>
    <t>PACIRA LTD</t>
  </si>
  <si>
    <t>DETOXICON</t>
  </si>
  <si>
    <t>GLICINA/METIONINA</t>
  </si>
  <si>
    <t>"COMPRESSE RIVESTITE" 30 COMPRESSE</t>
  </si>
  <si>
    <t>LABORATORIO FARMACEUTICO SIT SPECIALITA IGIENICO TERAPEUTICHE S.R.L.</t>
  </si>
  <si>
    <t>DEXMEDETOMIDINA TEVA</t>
  </si>
  <si>
    <t>DEXMEDETOMIDINA CLORIDRATO</t>
  </si>
  <si>
    <t>"100 MICROGRAMMI/ML CONCENTRATO PER SOLUZIONE PER INFUSIONE" 25 FLACONCINI IN VETRO DA 2 ML</t>
  </si>
  <si>
    <t>TEVA B.V.</t>
  </si>
  <si>
    <t>DIAZEPAM ITALFARMACO</t>
  </si>
  <si>
    <t>DIAZEPAM</t>
  </si>
  <si>
    <t>"10 MG/2 ML SOLUZIONE INIETTABILE"3 FIALE 2 ML</t>
  </si>
  <si>
    <t>ITALFARMACO S.P.A.</t>
  </si>
  <si>
    <t>DIEZIME</t>
  </si>
  <si>
    <t>CEFODIZIMA DISODICA</t>
  </si>
  <si>
    <t>"1 G/4 ML POLVERE E SOLVENTE PER SOLUZIONE INIETTABILE PER USO INTRAMUSCOLARE" 1 FLACONE + 1 FIALA SOLVENTE DA 4 ML</t>
  </si>
  <si>
    <t>RECORDATI INDUSTRIA CHIMICA E FARMACEUTICA S.P.A.</t>
  </si>
  <si>
    <t>"1 G/4 ML POLVERE E SOLVENTE PER SOLUZIONE INIETTABILE" 1 FLACONE + 1 FIALA SOLVENTE DA 4 ML</t>
  </si>
  <si>
    <t>DIPRIVAN</t>
  </si>
  <si>
    <t>PROPOFOL</t>
  </si>
  <si>
    <t>"10 MG/ML EMULSIONE PER INFUSIONE" 1 SIRINGA PRERIEMPITA DA 50 ML</t>
  </si>
  <si>
    <t>DISIPAL</t>
  </si>
  <si>
    <t>ORFENADRINA CLORIDRATO</t>
  </si>
  <si>
    <t>"50 MG COMPRESSE RIVESTITE" 50 COMPRESSE</t>
  </si>
  <si>
    <t>ECUPHARMA S.R.L.</t>
  </si>
  <si>
    <t>DUAVIVE</t>
  </si>
  <si>
    <t>BAZEDOXIFENE ACETATO + ESTROGENI CONIUGATI</t>
  </si>
  <si>
    <t>0.45 MG/20 MG - COMPRESSA A RILASCIO MODIFICATO - USO ORALE - BLISTER (UPVC/MONOCLOROTRIFLUORETILENE) - 28 COMPRESSE</t>
  </si>
  <si>
    <t>PFIZER EUROPE MA EEIG</t>
  </si>
  <si>
    <t>DUKORAL</t>
  </si>
  <si>
    <t>VACCINO COLERICO</t>
  </si>
  <si>
    <t>2 FLACONCINI DA 3 ML</t>
  </si>
  <si>
    <t>VALNEVA SWEDEN AB</t>
  </si>
  <si>
    <t>DUOSOL</t>
  </si>
  <si>
    <t>SOLUZIONE PER EMOFILTRAZIONE</t>
  </si>
  <si>
    <t>"SOLUZIONE PER EMOFILTRAZIONE, CON POTASSIO 2 MMOL/L  " 2 SACCHE DA 5000 ML A DOPPIA CAMERA IN PP</t>
  </si>
  <si>
    <t>B. BRAUN AVITUM AG</t>
  </si>
  <si>
    <t>EFEDRINA  AGUETTANT</t>
  </si>
  <si>
    <t>EFEDRINA</t>
  </si>
  <si>
    <t>"3 MG/ML SOLUZIONE INIETTABILE IN SIRINGA PRERIEMPITA" 10 SIRINGHE DA 10 ML</t>
  </si>
  <si>
    <t>LABORATOIRE AGUETTANT</t>
  </si>
  <si>
    <t>Problemi produttivi (carenza relativa solo al canale ospedaliero)</t>
  </si>
  <si>
    <t>EMEND</t>
  </si>
  <si>
    <t>125 MG - POLVERE PER SOSPENSIONE ORALE - USO ORALE - BUSTINA (PET/ALL/LLDPE) - 1 BUSTINA + 2 DOSATORI + 1 DISPOSITIVO DI CHIUSURA + 1 CONTENITORE PER LA MISCELAZIONE</t>
  </si>
  <si>
    <t>MERCK SHARP &amp; DOHME B.V.</t>
  </si>
  <si>
    <t>EMOSINT</t>
  </si>
  <si>
    <t>DESMOPRESSINA ACETATO IDRATO</t>
  </si>
  <si>
    <t>"4 MCG/0,5 ML SOLUZIONE INIETTABILE"10 FIALE 0,5 ML</t>
  </si>
  <si>
    <t>KEDRION S.P.A.</t>
  </si>
  <si>
    <t>"20 MCG/1 ML SOLUZIONE INIETTABILE" 10 FIALE DA 1 ML</t>
  </si>
  <si>
    <t>ENANTONE</t>
  </si>
  <si>
    <t>LEUPRORELINA</t>
  </si>
  <si>
    <t>"DIE 1MG/0,2ML SOLUZIONE INIETTABILE PER USO SOTTOCUTANEO"1 FLACONE DA 14 DOSI + 14 SIRINGHE MONOUSO</t>
  </si>
  <si>
    <t>TAKEDA ITALIA S.P.A.</t>
  </si>
  <si>
    <t>ENGERIX B</t>
  </si>
  <si>
    <t>VACCINO EPATITICO B</t>
  </si>
  <si>
    <t>SIRINGA PRERIEMPITA SOSP INIETT 1ML/20MCG</t>
  </si>
  <si>
    <t>GLAXOSMITHKLINE BIOLOGICALS S.A.</t>
  </si>
  <si>
    <t>25 FLAC. MONODOSE + SIRINGHE</t>
  </si>
  <si>
    <t>ENTUREN</t>
  </si>
  <si>
    <t>SULFINPIRAZONE</t>
  </si>
  <si>
    <t>"400 MG COMPRESSE"20 COMPRESSE</t>
  </si>
  <si>
    <t>MEDIVIS S.R.L.</t>
  </si>
  <si>
    <t>EPIRUBICINA AHCL</t>
  </si>
  <si>
    <t>EPIRUBICINA CLORIDRATO</t>
  </si>
  <si>
    <t>"2 MG/ML SOLUZIONE INIETTABILE O PER INFUSIONE" 1 FLACONCINO IN VETRO DA 25 ML</t>
  </si>
  <si>
    <t>EQUASYM</t>
  </si>
  <si>
    <t>METILFENIDATO CLORIDRATO</t>
  </si>
  <si>
    <t>"10 MG CAPSULE RIGIDE A RILASCIO MODIFICATO" 30 CAPSULE IN BLISTER PVC/ACLAR/AL</t>
  </si>
  <si>
    <t>SHIRE PHARMACEUTICALS IRELAND LIMITED</t>
  </si>
  <si>
    <t>ESAFOSFINA</t>
  </si>
  <si>
    <t>FRUTTOSIO DIFOSFATO SODICO</t>
  </si>
  <si>
    <t>"5 G/50 ML POLVERE E SOLVENTE PER SOLUZIONE PER INFUSIONE" 1 FLACONE POLVERE 5 G + 1 FLACONE SOLVENTE 50 ML</t>
  </si>
  <si>
    <t>BIOMEDICA FOSCAMA INDUSTRIA CHIMICO-FARMACEUTICA S.P.A.</t>
  </si>
  <si>
    <t>Sospensione commercializzazione</t>
  </si>
  <si>
    <t>"10 G/100 ML SOLUZIONE PER INFUSIONE" 1 FLACONE 100 ML</t>
  </si>
  <si>
    <t>" 10 G/100 ML SOLUZIONE PER INFUSIONE "FLACONE DA 100 ML SENZA SET DA INFUSIONE</t>
  </si>
  <si>
    <t>"10 G/100 ML SOLUZIONE PER INFUSIONE" 20 FLACONI SENZA SETA DA INFUSIONE</t>
  </si>
  <si>
    <t>ESERINA S.A.L.F.</t>
  </si>
  <si>
    <t>FISOSTIGMINA SALICILATO</t>
  </si>
  <si>
    <t>" 1 MG/ML SOLUZIONE INIETTABILE " 5 FIALE DA 1 ML</t>
  </si>
  <si>
    <t>S.A.L.F. SPA  LABORATORIO FARMACOLOGICO</t>
  </si>
  <si>
    <t>ESMERON</t>
  </si>
  <si>
    <t>ROCURONIO BROMURO</t>
  </si>
  <si>
    <t>"10 MG/ML SOLUZIONE INIETTABILE PER USO ENDOVENOSO" 10 FLACONCINI DA 10 ML</t>
  </si>
  <si>
    <t>ESTALIS SEQUI</t>
  </si>
  <si>
    <t>ESTRADIOLO/NORETISTERONE</t>
  </si>
  <si>
    <t>"CEROTTI TRANSDERMICI" 4 CEROTTI FASE I 50 MCG/24 H  + 4 CEROTTI FASE II 50+250 MCG/24 H</t>
  </si>
  <si>
    <t>NOVARTIS FARMA S.P.A.</t>
  </si>
  <si>
    <t>ESTO</t>
  </si>
  <si>
    <t>GLICEROFOSFORILETANOLAMINA MONOIDRATA</t>
  </si>
  <si>
    <t>"1000 MG/4 ML SOLUZIONE INIETTABILE" 3 FIALE DA 4 ML</t>
  </si>
  <si>
    <t>AZIENDE CHIMICHE RIUNITE ANGELINI FRANCESCO ACRAF SPA</t>
  </si>
  <si>
    <t>ETHYOL</t>
  </si>
  <si>
    <t>AMIFOSTINA</t>
  </si>
  <si>
    <t>3 FLACONI 500 MG</t>
  </si>
  <si>
    <t>CLINIGEN HEALTHCARE B.V.</t>
  </si>
  <si>
    <t>FARGANESSE</t>
  </si>
  <si>
    <t>PROMETAZINA CLORIDRATO</t>
  </si>
  <si>
    <t>"25 MG COMPRESSE RIVESTITE" 20 COMPRESSE</t>
  </si>
  <si>
    <t>ANSERIS FARMA SRL</t>
  </si>
  <si>
    <t>FARLUTAL</t>
  </si>
  <si>
    <t>MEDROSSIPROGESTERONE ACETATO</t>
  </si>
  <si>
    <t>"500 MG/2,5 ML SOSPENSIONE INIETTABILE PER USO INTRAMUSCOLARE" 1 FLACONE</t>
  </si>
  <si>
    <t>"500 MG/5 ML SOSPENSIONE ORALE" 30 FLACONCINI DA 5 ML</t>
  </si>
  <si>
    <t>"1 G/10 ML SOSPENSIONE ORALE" 15 FLACONCINI DA 10 ML</t>
  </si>
  <si>
    <t>FDP FISIOPHARMA</t>
  </si>
  <si>
    <t>"5 G POLVERE E SOLVENTE PER SOLUZIONE PER INFUSIONE" 1 FLACONE POLVERE DA 5 G + 1 FLACONE SOLVENTE DA 50 ML</t>
  </si>
  <si>
    <t>FISIOPHARMA S.R.L.</t>
  </si>
  <si>
    <t>"10 G POLVERE E SOLVENTE PER SOLUZIONE PER INFUSIONE" 1 FLACONE POLVERE DA 10 G + 1 FLACONE SOLVENTE DA 100 ML</t>
  </si>
  <si>
    <t>FENTANYL HAMELN</t>
  </si>
  <si>
    <t>"50 MICROGRAMMI/ML SOLUZIONE INIETTABILE" 1 FLACONCINO IN VETRO DA 50 ML</t>
  </si>
  <si>
    <t>Confezioni importate non ancora disponibili; si rilascia autorizzazione all’importazione alle strutture sanitarie per analogo autorizzato all'estero, in attesa della disponibilità delle confezioni importate o nel caso in cui le strutture interessate riscontrino difficoltà a reperire il medicinale importato dal titolare A.I.C.</t>
  </si>
  <si>
    <t>FIBROVEIN</t>
  </si>
  <si>
    <t>SODIO TETRADECILSOLFATO</t>
  </si>
  <si>
    <t>"0,2% SOLUZIONE INIETTABILE PER USO ENDOVENOSO" 10 FLACONCINI VETRO TIPO I MONODOSE 5 ML</t>
  </si>
  <si>
    <t>STD PHARMACEUTICAL(IRELAND)LIMITED</t>
  </si>
  <si>
    <t>FIRMAGON</t>
  </si>
  <si>
    <t>DEGARELIX</t>
  </si>
  <si>
    <t>"80 MG - POLVERE E SOLVENTE PER SOLUZIONE INIETTABILE - USO SOTTOCUTANEO - POLVERE: FLACONCINO (VETRO) SOLVENTE: SIRINGA PRE-RIEMPITA (VETRO) - FLACONCINO POLVERE: 80 MG - SIRINGA PRE-RIEMPITA SOLVENTE: 4,2 ML" 1 FLACONCINO+1 SIRINGA PRE-RIEMPITA+1 STANTUFFO+1 ADATTATORE PER FLACONCINO + 1 AGO</t>
  </si>
  <si>
    <t>FERRING PHARMACEUTICALS A/S</t>
  </si>
  <si>
    <t>"120 MG - POLVERE E SOLVENTE PER SOLUZIONE INIETTABILE - USO SOTTOCUTANEO - POLVERE: FLACONCINO (VETRO) SOLVENTE: SIRINGA PRE-RIEMPITA (VETRO) - FLACONCINO POLVERE: 120 MG - SIRINGA PRE-RIEMPITA SOLVENTE: 3 ML" 2 FLACONCINI+2 SIRINGHE PRE-RIEMPITE+2 STANTUFFI+2 ADATTATORI PER FLACONCINO+2 AGHI</t>
  </si>
  <si>
    <t>FLECTADOL</t>
  </si>
  <si>
    <t>LISINA ACETILSALICILATO</t>
  </si>
  <si>
    <t>"1 G/5 ML POLVERE E SOLVENTE PER SOLUZIONE INIETTABILE PER USO IM E EV" 6 FLACONCINI POLVERE + 6 FIALE SOLVENTI DA 5 ML</t>
  </si>
  <si>
    <t>carenza relativa sia al canale retail che al canale ospedaliero:
- canale retail: medicinale disponibile solo per emergenze; fine carenza prevista per il 28/02/2021
- canale ospedaliero: distribuzione contingentata</t>
  </si>
  <si>
    <t>FLUAD</t>
  </si>
  <si>
    <t>EMOAGGLUTININA VIRALE + VACCINO INFLUENZALE INATTIVATO</t>
  </si>
  <si>
    <t>"SOSPENSIONE INIETTABILE PER USO INTRAMUSCOLARE" 1 SIRINGA PRERIEMPITA DA 0,5 ML</t>
  </si>
  <si>
    <t>SEQIRUS S.R.L.</t>
  </si>
  <si>
    <t>"SOSPENSIONE INIETTABILE PER USO INTRAMUSCOLARE " 10 SIRINGHE PRERIEMPITE DA 0,5 ML CON AGO</t>
  </si>
  <si>
    <t>FLUCELVAX TETRA</t>
  </si>
  <si>
    <t>VACCINO ANTIINFLUENZALE**</t>
  </si>
  <si>
    <t>0,5 ML - SOSPENSIONE INIETTABILE - USO INTRAMUSCOLARE - SIRINGA PRERIEMPITA (VETRO) CON AGO  0,5 ML - 1 SIRINGA PRERIEMPITA</t>
  </si>
  <si>
    <t>SEQIRUS NETHERLANDS B.V.</t>
  </si>
  <si>
    <t>0,5 ML - SOSPENSIONE INIETTABILE - USO INTRAMUSCOLARE - SIRINGA PRERIEMPITA (VETRO) CON AGO  0,5 ML - 10 SIRINGHE PRERIEMPITE</t>
  </si>
  <si>
    <t>FLUDARABINA ACCORD</t>
  </si>
  <si>
    <t>FLUDARABINA</t>
  </si>
  <si>
    <t>"25 MG/ML CONCENTRATO PER SOLUZIONE INIETTABILE O PER INFUSIONE" 1 FLACONCINO IN VETRO DA 2 ML</t>
  </si>
  <si>
    <t>FLUDARABINA AUROBINDO</t>
  </si>
  <si>
    <t>"25 MG/ML CONCENTRATO PER SOLUZIONE INIETTABILE O PER INFUSIONE" 5 FLACONCINI IN VETRO DA 2 ML</t>
  </si>
  <si>
    <t>AUROBINDO PHARMA (ITALIA) S.R.L.</t>
  </si>
  <si>
    <t>FORTACIN</t>
  </si>
  <si>
    <t>LIDOCAINA + PRILOCAINA</t>
  </si>
  <si>
    <t>150 MG/ML / 50 MG/ML - SPRAY CUTANEO, SOLUZIONE  - USO CUTANEO - FLACONE NEBULIZZATORE  (ALLUMINIO) 5,0 ML - 1  CONTENITORE  (12 DOSI)</t>
  </si>
  <si>
    <t>RECORDATI IRELAND LTD</t>
  </si>
  <si>
    <t>GAMTEN</t>
  </si>
  <si>
    <t>IMMUNOGLOBULINA UMANA NORMALE</t>
  </si>
  <si>
    <t>"100MG/ML SOLUZIONE PER INFUSIONE" 1 FLACONE IN VETRO  DA 50 ML</t>
  </si>
  <si>
    <t>OCTAPHARMA ITALY S.P.A.</t>
  </si>
  <si>
    <t>"100MG/ML SOLUZIONE PER INFUSIONE" 1 FLACONE IN VETRO  DA 100 ML</t>
  </si>
  <si>
    <t>GLUCOSIO BAUSCH &amp; LOMB-IOM</t>
  </si>
  <si>
    <t>GLUCOSIO (DESTROSIO) MONOIDRATO</t>
  </si>
  <si>
    <t>"35% GEL OFTALMICO" 1 TUBO DA 5 G</t>
  </si>
  <si>
    <t>BAUSCH &amp; LOMB-IOM S.P.A.</t>
  </si>
  <si>
    <t>GLUTATIONE GERMED</t>
  </si>
  <si>
    <t>GLUTATIONE SODICO</t>
  </si>
  <si>
    <t>"600 MG/4 ML POLVERE E SOLVENTE PER SOLUZIONE INIETTABILE" 10 FLACONCINI POLVERE + 10 FIALE SOLVENTE 4 ML</t>
  </si>
  <si>
    <t>GERMED PHARMA S.R.L.</t>
  </si>
  <si>
    <t>HAVRIX</t>
  </si>
  <si>
    <t>"ADULTI SOSPENSIONE INIETTABILE PER USO INTRAMUSCOLARE" 1 SIRINGA PRERIEMPITA DA 1,0 ML (1 DOSE) CON AGO SEPARATO</t>
  </si>
  <si>
    <t>GLAXOSMITHKLINE S.P.A.</t>
  </si>
  <si>
    <t>Problemi produttivi (carenza relativa solo al canale retail)</t>
  </si>
  <si>
    <t>HBVAXPRO</t>
  </si>
  <si>
    <t>VACCINO EPATITE B DA DNA RICOMBINANTE</t>
  </si>
  <si>
    <t>10 MCG/ML SOSPENSIONE INIETTABILE 1 FLACONCINO (VETRO) 1 ML USO INTRAMUSCOLARE</t>
  </si>
  <si>
    <t>MSD VACCINS</t>
  </si>
  <si>
    <t>40 MCG/ML SOSPENSIONE INIETTABILE 1 FLACONCINO (VETRO) 1 ML USO INTRAMUSCOLARE</t>
  </si>
  <si>
    <t>10 MCG/1 ML 1 SIRINGA PRERIEMPITA CON 2 AGHI SEPARATI</t>
  </si>
  <si>
    <t>HIBERIX</t>
  </si>
  <si>
    <t>VACCINO HAEMOPHILUS INFLUENZAE B CONIUGATO CON TOSSOIDETETANICO</t>
  </si>
  <si>
    <t>"POLVERE E SOLVENTE PER SOLUZIONE INIETTABILE PER USO INTRAMUSCOLARE" FLACONCINO POLVERE(1 DOSE)+SIRINGA PRERIEMPITA SOLVENTE 0,5 ML CON AGO SEPARATO</t>
  </si>
  <si>
    <t>CARENZA RELATIVA SOLO AL CANALE OSPEDALIERO</t>
  </si>
  <si>
    <t>IBITAZINA</t>
  </si>
  <si>
    <t>PIPERACILLINA SODICA/TAZOBACTAM SODICO</t>
  </si>
  <si>
    <t>" 2 G + 250 MG /4 ML POLVERE E SOLVENTE PER SOLUZIONE INIETTABILE PER USO INTRAMUSCOLARE " FLACONCINO POLVERE + FIALA SOLVENTE DA 4 ML</t>
  </si>
  <si>
    <t>IBIGEN S.R.L.</t>
  </si>
  <si>
    <t>IDARUBICINA SANDOZ</t>
  </si>
  <si>
    <t>IDARUBICINA CLORIDRATO</t>
  </si>
  <si>
    <t>" 1MG/ML CONCENTRATO PER SOLUZIONE PER INFUSIONE"  1 FLACONCINO DA 5 ML</t>
  </si>
  <si>
    <t>SANDOZ S.P.A.</t>
  </si>
  <si>
    <t>INDERAL</t>
  </si>
  <si>
    <t>PROPRANOLOLO CLORIDRATO</t>
  </si>
  <si>
    <t>"40 MG COMPRESSE" 30 COMPRESSE</t>
  </si>
  <si>
    <t>ASTRAZENECA S.P.A.</t>
  </si>
  <si>
    <t>INFANRIX</t>
  </si>
  <si>
    <t>VACCINO DIFTERICO/PERTOSSICO ACELLULARE/TETANICO</t>
  </si>
  <si>
    <t>"BAMBINI SOSPENSIONE INIETTABILE PER USO INTRAMUSCOLARE" 10 SIRINGHE PRERIEMPITE DA 0,5 ML (1 DOSE) CON 20 AGHI SEPARATI</t>
  </si>
  <si>
    <t>"BAMBINI SOSPENSIONE INIETTABILE PER USO INTRAMUSCOLARE" 1 SIRINGA PRERIEMPITA DA 0,5 ML (1 DOSE) CON 2 AGHI SEPARATI</t>
  </si>
  <si>
    <t>INFANRIX HEXA</t>
  </si>
  <si>
    <t>VACCINO DIFTERICO/EPATITICO B RICOMBINANTE/HAEMOFILUS INFLUENZAE B CONIUGATO E ADIUVATO/PERTOSSICO ACELLULARE/POLIOMELITICO INATTIVATO/TETANICO</t>
  </si>
  <si>
    <t>POLVERE E SOSPENSIONE PER SOSPENSIONE INIETTABILE 1 FLACONCINO + 1 SIRINGA PRERIEMPITA 0,5 ML + 2 AGHI USO INTRAMUSCOLARE</t>
  </si>
  <si>
    <t>POLVERE E SOSPENSIONE PER SOSPENSIONE INIETTABILE 10 FLACONCINI + 10 SIRINGHE PRERIEMPITE 0,5 ML + 20 AGHI USO INTRAMUSCOLARE</t>
  </si>
  <si>
    <t>INTRASTIGMINA</t>
  </si>
  <si>
    <t>NEOSTIGMINA METILSOLFATO</t>
  </si>
  <si>
    <t>"0,5 MG/ ML SOLUZIONE INIETTABILE" 6 FIALE 1 ML</t>
  </si>
  <si>
    <t>ISTITUTO LUSO FARMACO D'ITALIA S.P.A.</t>
  </si>
  <si>
    <t>INTRONA</t>
  </si>
  <si>
    <t>INTERFERONE ALFA 2B</t>
  </si>
  <si>
    <t>10 MIU  SOLUZIONE INIETTABILE 1 FLACONCINO USO SOTTOCUTANEO O INTRAVENOSO</t>
  </si>
  <si>
    <t>Per dettagli si prega di fare riferimento al comunicato pubblicato alla pagina https://www.aifa.gov.it/web/guest/-/aggiornamento-sulla-carenza-delle-specialita-medicinali-a-base-di-interferone-alfa-2a-e-2b-e-delle-loro-rispettive-forme-pegilate</t>
  </si>
  <si>
    <t>25 MIU  SOLUZIONE INIETTABILE 1 FLACONCINO USO SOTTOCUTANEO O INTRAVENOSO</t>
  </si>
  <si>
    <t>18 MIU  SOLUZIONE INIETTABILE IN PENNA MULTIDOSE - CARTUCCIA IN PENNA MULTIDOSE 1 PENNA + 6 KIT PER INIEZIONE USO SOTTOCUTANEO</t>
  </si>
  <si>
    <t>le penne multidose non sono più commercializzate dal titolare a livello globale</t>
  </si>
  <si>
    <t>30 MIU  SOLUZIONE INIETTABILE IN PENNA MULTIDOSE - CARTUCCIA IN PENNA MULTIDOSE 1 PENNA + 6 KIT PER INIEZIONE USO SOTTOCUTANEO</t>
  </si>
  <si>
    <t>ISOCEF</t>
  </si>
  <si>
    <t>CEFTIBUTEN</t>
  </si>
  <si>
    <t>"36 MG/ML GRANULATO PER SOSPENSIONE ORALE" 1 FLACONE DA 15 G</t>
  </si>
  <si>
    <t>"400 MG CAPSULE RIGIDE" 6 CAPSULE</t>
  </si>
  <si>
    <t>K FLEBO</t>
  </si>
  <si>
    <t>POTASSIO ASPARTATO</t>
  </si>
  <si>
    <t>"1 MEQ/ML CONCENTRATO PER SOLUZIONE PER INFUSIONE E PER USO ORALE" 5 FIALE 10 ML</t>
  </si>
  <si>
    <t>KRENOSIN</t>
  </si>
  <si>
    <t>"6 MG/2 ML SOLUZIONE INIETTABILE PER USO ENDOVENOSO" 6 FLACONCINI 2 ML</t>
  </si>
  <si>
    <t>LAMICTAL</t>
  </si>
  <si>
    <t>LAMOTRIGINA</t>
  </si>
  <si>
    <t>"5  MG  COMPRESSE  MASTICABILI/  DISPERSIBILI"  28_x000D_
COMPRESSE IN BLISTER PVC/PVDC/FOGLIO DI ALLUMINIO</t>
  </si>
  <si>
    <t>LANITOP</t>
  </si>
  <si>
    <t>METILDIGOSSINA</t>
  </si>
  <si>
    <t>"0,1 MG COMPRESSE" 30 COMPRESSE</t>
  </si>
  <si>
    <t>RIEMSER PHARMA GMBH</t>
  </si>
  <si>
    <t>"0,05 MG COMPRESSE" 40 COMPRESSE</t>
  </si>
  <si>
    <t>LANOXIN</t>
  </si>
  <si>
    <t>DIGOSSINA</t>
  </si>
  <si>
    <t>"0,5 MG/2 ML SOLUZIONE INIETTABILE" 6 FIALE DA 2 ML</t>
  </si>
  <si>
    <t>LINEZOLID ACCORD HEALTHCARE</t>
  </si>
  <si>
    <t>LINEZOLID</t>
  </si>
  <si>
    <t>"2 MG/ML SOLUZIONE PER INFUSIONE" 10 SACCHE DA 300 ML IN PO</t>
  </si>
  <si>
    <t>LUDIOMIL</t>
  </si>
  <si>
    <t>MAPROTILINA CLORIDRATO</t>
  </si>
  <si>
    <t>"50 MG COMPRESSE RIVESTITE CON FILM" 30 COMPRESSE</t>
  </si>
  <si>
    <t>AMDIPHARM LTD</t>
  </si>
  <si>
    <t>MABELIO</t>
  </si>
  <si>
    <t>CEFTOBIPROLE MEDOCARIL</t>
  </si>
  <si>
    <t>"500 MG POLVERE PER CONCENTRATO PER SOLUZIONE PER INFUSIONE" 10 FLACONCINI IN VETRO DA 20 ML</t>
  </si>
  <si>
    <t>CORREVIO</t>
  </si>
  <si>
    <t>MELFALAN TILLOMED</t>
  </si>
  <si>
    <t>"50 MG POLVERE E SOLVENTE PER SOLUZIONE INIETTABILE E PER INFUSIONE" 1 FLACONCINO POLVERE + 1 FLACONCINO SOLVENTE</t>
  </si>
  <si>
    <t>METASTRON</t>
  </si>
  <si>
    <t>STRONZIO 89SR CLORURO</t>
  </si>
  <si>
    <t>"150 MBEQUEREL/4 ML SOLUZIONE INIETTABILE"1 FIALA  4 ML</t>
  </si>
  <si>
    <t>GE HEALTHCARE S.R.L.</t>
  </si>
  <si>
    <t>MICROPAM</t>
  </si>
  <si>
    <t>"5 MG/2,5 ML SOLUZIONE RETTALE" 4 CONTENITORI MONODOSE</t>
  </si>
  <si>
    <t>"10  MG/2,5  ML  SOLUZIONE  RETTALE"  4  CONTENITORI_x000D_
    MONODOSE</t>
  </si>
  <si>
    <t>MIDAZOLAM ACCORD HEALTHCARE</t>
  </si>
  <si>
    <t>"1 MG/ML SOLUZIONE INIETTABILE O PER INFUSIONE" 10 FIALE DA 5 ML</t>
  </si>
  <si>
    <t>"5 MG/ML SOLUZIONE INIETTABILE O PER INFUSIONE" 10 FIALE DA 1 ML</t>
  </si>
  <si>
    <t>"5 MG/ML SOLUZIONE INIETTABILE O PER INFUSIONE" 10 FIALE DA 3 ML</t>
  </si>
  <si>
    <t>MIDAZOLAM BIOINDUSTRIA LIM</t>
  </si>
  <si>
    <t>" 5 MG/ ML SOLUZIONE INIETTABILE " 10 FIALE DA 1 ML</t>
  </si>
  <si>
    <t>BIOINDUSTRIA LABORATORIO ITALIANO MEDICINALI S.P.A.</t>
  </si>
  <si>
    <t>" 15 MG/ 3 ML SOLUZIONE INIETTABILE " 5 FIALE DA 3 ML</t>
  </si>
  <si>
    <t>MIFEGYNE</t>
  </si>
  <si>
    <t>MIFEPRISTONE</t>
  </si>
  <si>
    <t>"200 MG COMPRESSE" 1 COMPRESSA IN BLISTER PVC/AL</t>
  </si>
  <si>
    <t>NORDIC GROUP BV</t>
  </si>
  <si>
    <t>MIGLUSTAT GEN.ORPH</t>
  </si>
  <si>
    <t>MIGLUSTAT</t>
  </si>
  <si>
    <t>100 MG - CAPSULA, RIGIDA - USO ORALE - BLISTER (OPA/ALLU/PVC) - 84 CAPSULE</t>
  </si>
  <si>
    <t>GEN.ORPH S.A.S.</t>
  </si>
  <si>
    <t>MINIRIN/DDAVP</t>
  </si>
  <si>
    <t>"0,1 MG/ML GOCCE NASALI, SOLUZIONI"FLACONE 2,5 ML</t>
  </si>
  <si>
    <t>FERRING S.P.A.</t>
  </si>
  <si>
    <t>MISOONE</t>
  </si>
  <si>
    <t>MISOPROSTOLO</t>
  </si>
  <si>
    <t>"400 MICROGRAMMI COMPRESSE" 16 COMPRESSE IN BLISTER PVC/PCTFE/AL MONODOSE</t>
  </si>
  <si>
    <t>"400 MICROGRAMMI COMPRESSE" 1 COMPRESSA IN BLISTER OPA/AL/PVC/AL</t>
  </si>
  <si>
    <t>MITOMICINA MEDAC</t>
  </si>
  <si>
    <t>MITOMICINA</t>
  </si>
  <si>
    <t>"1 MG/ML POLVERE PER SOLUZIONE INIETTABILE O ENDOVESCICALE O PER INFUSIONE" 1 FLACONCINO IN VETRO DA 10 MG</t>
  </si>
  <si>
    <t>MEDAC GESELLSCHAFT FUR KLINISCHE SPEZIALPRAPARATE MBH</t>
  </si>
  <si>
    <t>"1 MG/ML POLVERE PER SOLUZIONE INIETTABILE O ENDOVESCICALE O PER INFUSIONE" 1 FLACONCINO IN VETRO DA 40 MG</t>
  </si>
  <si>
    <t>MITOMYCIN C</t>
  </si>
  <si>
    <t>"10 MG POLVERE PER SOLUZIONE INIETTABILE"1 FLACONE</t>
  </si>
  <si>
    <t>Si prega di fare riferimento al seguente comunicato: https://www.aifa.gov.it/en/web/guest/-/aggiornamento-sulla-carenza-del-farmaco-mitomycin--1</t>
  </si>
  <si>
    <t>"40 MG POLVERE PER SOLUZIONE ENDOVESCICALE"1 FLACONE</t>
  </si>
  <si>
    <t>Si rilascia autorizzazione all’importazione alle strutture sanitarie per analogo autorizzato all’estero, qualora non risultasse disponibile l’analogo autorizzato in Italia</t>
  </si>
  <si>
    <t>MIVACRON</t>
  </si>
  <si>
    <t>MIVACURIO CLORURO</t>
  </si>
  <si>
    <t>"2 MG/ML SOLUZIONE INIETTABILE PER USO ENDOVENOSO" 5 FIALE DA 10 ML</t>
  </si>
  <si>
    <t>MODIVID</t>
  </si>
  <si>
    <t>CEFODIZIME</t>
  </si>
  <si>
    <t>"1 G/4 ML POLVERE E SOLVENTE PER SOLUZIONE INIETTABILE " 1 FLACONE + 1 FIALA SOLVENTE DA 4 ML</t>
  </si>
  <si>
    <t>NANOCOLL</t>
  </si>
  <si>
    <t>ALACEPRIL</t>
  </si>
  <si>
    <t>"0,5 MG KIT PER PREPARAZIONE RADIOFARMACEUTICA" 5 FLACONCINI MULTIDOSE DA 10 ML</t>
  </si>
  <si>
    <t>NIFEDIPINA DOC</t>
  </si>
  <si>
    <t>"30 MG COMPRESSE A RILASCIO PROLUNGATO"14 COMPRESSE</t>
  </si>
  <si>
    <t>DOC GENERICI SRL</t>
  </si>
  <si>
    <t>NIFEDIPINA MYLAN GENERICS ITALIA</t>
  </si>
  <si>
    <t>"60 MG COMPRESSE RIVESTITE A  RILASCIO PROLUNGATO" 28 COMPRESSE IN BLISTER PVC/PVDC/AL</t>
  </si>
  <si>
    <t>MYLAN S.P.A.</t>
  </si>
  <si>
    <t>NIMBEX</t>
  </si>
  <si>
    <t>"2" 5 FIALE DA 2,5 ML 2 MG/ML</t>
  </si>
  <si>
    <t>Elevata richiesta: distribuzione contingentata</t>
  </si>
  <si>
    <t>"2" 5 FIALE DA 5 ML 2 MG/ML</t>
  </si>
  <si>
    <t>"2" 5 FIALE DA 10 ML 2 MG/ML</t>
  </si>
  <si>
    <t>"5" 1 FLACONCINO DA 30 ML 5 MG/ML</t>
  </si>
  <si>
    <t>NIZACOL</t>
  </si>
  <si>
    <t>MICONAZOLO</t>
  </si>
  <si>
    <t>10 COMPRESSE 500 MG</t>
  </si>
  <si>
    <t>NEW RESEARCH S.R.L.</t>
  </si>
  <si>
    <t>Problemi commerciali</t>
  </si>
  <si>
    <t>NIZAX</t>
  </si>
  <si>
    <t>NIZATIDINA</t>
  </si>
  <si>
    <t>"150 MG CAPSULE RIGIDE" 20 CAPSULE</t>
  </si>
  <si>
    <t>Si rilascia autorizzazione all’importazione alle strutture sanitarie per analogo autorizzato all'estero</t>
  </si>
  <si>
    <t>NORITREN</t>
  </si>
  <si>
    <t>NORTRIPTILINA CLORIDRATO</t>
  </si>
  <si>
    <t>"10 MG COMPRESSE RIVESTITE" 30 COMPRESSE</t>
  </si>
  <si>
    <t>"25 MG COMPRESSE RIVESTITE" 30 COMPRESSE</t>
  </si>
  <si>
    <t>OCTAGAM</t>
  </si>
  <si>
    <t>"5% SOLUZIONE PER  INFUSIONE" 1 FLACONE IN VETRO DA  50 ML</t>
  </si>
  <si>
    <t>"5% SOLUZIONE PER INFUSIONE"  1 FLACONE IN VETRO DA  100 ML</t>
  </si>
  <si>
    <t>"5% SOLUZIONE PER INFUSIONE"  1 FLACONE IN VETRO DA  200 ML</t>
  </si>
  <si>
    <t>OCTANORM</t>
  </si>
  <si>
    <t>"165 MG/ML SOLUZIONE INIETTABILE" 1 FLACONCINO IN VETRO DA 10 ML</t>
  </si>
  <si>
    <t>"165 MG/ML SOLUZIONE INIETTABILE" 1 FLACONCINO IN VETRO DA 20 ML</t>
  </si>
  <si>
    <t>"165 MG/ML SOLUZIONE INIETTABILE" 1 FLACONCINO IN VETRO DA 6 ML</t>
  </si>
  <si>
    <t>"165 MG/ML SOLUZIONE INIETTABILE" 1 FLACONCINO IN VETRO DA 12 ML</t>
  </si>
  <si>
    <t>"165 MG/ML SOLUZIONE INIETTABILE" 1 FLACONCINO IN VETRO DA 24 ML</t>
  </si>
  <si>
    <t>"165 MG/ML SOLUZIONE INIETTABILE" 1 FLACONCINO IN VETRO DA 48 ML</t>
  </si>
  <si>
    <t>PANTOPRAZOLO  TEVA  GENERICS</t>
  </si>
  <si>
    <t>PANTOPRAZOLO</t>
  </si>
  <si>
    <t>"40 MG POLVERE PER SOLUZIONE INIETTABILE" 10 FLACONCINI IN VETRO</t>
  </si>
  <si>
    <t>TEVA ITALIA S.R.L.</t>
  </si>
  <si>
    <t>PEGINTRON</t>
  </si>
  <si>
    <t>INTERFERONE ALFA 2B PEGILATO</t>
  </si>
  <si>
    <t>50 MCG POLVERE E SOLVENTE PER SOLUZIONE INIETTABILE 1 FLACONCINO VETRO + 1 FIALA VETRO USO SOTTOCUTANEO</t>
  </si>
  <si>
    <t>120 MCG POLVERE E SOLVENTE PER SOLUZIONE INIETTABILE 1 FLACONCINO VETRO + 1 FIALA VETRO USO SOTTOCUTANEO</t>
  </si>
  <si>
    <t>80 MCG POLVERE E SOLVENTE PER SOLUZIONE INIETTABILE 1 FLACONCINO VETRO + 1 FIALA VETRO USO SOTTOCUTANEO</t>
  </si>
  <si>
    <t>100 MCG POLVERE E SOLVENTE PER SOLUZIONE INIETTABILE 1 FLACONCINO VETRO + 1 FIALA VETRO USO SOTTOCUTANEO</t>
  </si>
  <si>
    <t>150 MCG POLVERE E SOLVENTE PER SOLUZIONE INIETTABILE 1 FLACONCINO VETRO + 1 FIALA VETRO USO SOTTOCUTANEO</t>
  </si>
  <si>
    <t>80 MCG POLVERE E SOLVENTE PER SOLUZIONE INIETTABILE IN CARTUCCIA A DUE SCOMPARTI IN 1 PENNA PRERIEMPITA + 1 AGO + 2 TAMPONI  USO SOTTOCUTANEO</t>
  </si>
  <si>
    <t>120 MCG POLVERE E SOLVENTE PER SOLUZIONE INIETTABILE IN CARTUCCIA A DUE SCOMPARTI IN 1 PENNA PRERIEMPITA + 1 AGO + 2 TAMPONI  USO SOTTOCUTANEO</t>
  </si>
  <si>
    <t>150 MCG POLVERE E SOLVENTE PER SOLUZIONE INIETTABILE IN CARTUCCIA A DUE SCOMPARTI IN 1 PENNA PRERIEMPITA + 1 AGO + 2 TAMPONI  USO SOTTOCUTANEO</t>
  </si>
  <si>
    <t>PENSTAPHO</t>
  </si>
  <si>
    <t>OXACILLINA SODICA</t>
  </si>
  <si>
    <t>"1 G/5 ML POLVERE E SOLVENTE PER SOLUZIONE INIETTABILE" 1 FLACONE + FIALA SOLVENTE 5 ML</t>
  </si>
  <si>
    <t>LABORATOIRES DELBERT</t>
  </si>
  <si>
    <t>PENTACARINAT</t>
  </si>
  <si>
    <t>PENTAMIDINA ISETIONATO</t>
  </si>
  <si>
    <t>"300 MG POLVERE PER SOLUZIONE INIETTABILE O DA NEBULIZZARE" 1 FLACONE</t>
  </si>
  <si>
    <t>PENTAVAC</t>
  </si>
  <si>
    <t>TOSSOIDE DIFTERICO/TOSSOIDE TETANICO/TOSSOIDE PERTOSSICO/EMOAGGLUTININA FILAMENTOSA/VACCINO POLIOMIELITICO INATTIVATO/POLISACCARIDE HAEMOFILUS INFLUENZAE CONIUGATO CON PROTEINA DEL TETANO</t>
  </si>
  <si>
    <t>" 0,5 ML POLVERE E SOSPENSIONE INIETTABILE " 1 FLACONCINO MONODOSE + 1SIRINGA PRE-RIEMPITA MONODOSE CON 2 AGHI SEPARATI</t>
  </si>
  <si>
    <t>SANOFI PASTEUR EUROPE</t>
  </si>
  <si>
    <t>PIPERACILLINA DOROM</t>
  </si>
  <si>
    <t>PIPERACILLINA SODICA</t>
  </si>
  <si>
    <t>"1 G POLVERE E SOLVENTE PER SOLUZIONE INIETTABILE" 1 FLACONCINO POLVERE 1 G + 1 FIALA SOLVENTE 2 ML</t>
  </si>
  <si>
    <t>"2 G POLVERE E SOLVENTE PER SOLUZIONE INIETTABILE" 1 FLACONCINO POLVERE 2 G + 1 FIALA SOLVENTE 4 ML</t>
  </si>
  <si>
    <t>PIPERACILLINA E TAZOBACTAM IBIGEN</t>
  </si>
  <si>
    <t>"4 G/0.5 G POLVERE PER SOLUZIONE INIETTABILE O PER INFUSIONE" 1 FLACONCINO IN VETRO</t>
  </si>
  <si>
    <t>"4 G/0.5 G POLVERE PER SOLUZIONE INIETTABILE O PER INFUSIONE" 10 FLACONCINI IN VETRO</t>
  </si>
  <si>
    <t>"2 G/0.25 G POLVERE PER SOLUZIONE INIETTABILE O PER INFUSIONE" 10 FLACONCINI IN VETRO</t>
  </si>
  <si>
    <t>"2 G/0.25 G POLVERE PER SOLUZIONE INIETTABILE O PER INFUSIONE" 1 FLACONCINO IN VETRO</t>
  </si>
  <si>
    <t>PIPERACILLINA E TAZOBACTAM MYLAN GENERICS</t>
  </si>
  <si>
    <t>PIPERACILLINA SODICA + TAZOBACTAM SODICO</t>
  </si>
  <si>
    <t>"4 G/0,5 G POLVERE PER SOLUZIONE PER INFUSIONE" 10 FLACONCINI IN VETRO DI POLVERE</t>
  </si>
  <si>
    <t>PIPERACILLINA E TAZOBACTAM SANDOZ</t>
  </si>
  <si>
    <t>"2 G/250 MG POLVERE PER SOLUZIONE INIETTABILE O PER INFUSIONE" 1 FLACONCINO IN VETRO DA 30 ML</t>
  </si>
  <si>
    <t>"4 G/500 MG POLVERE PER SOLUZIONE INIETTABILE O PER INFUSIONE" 10 FLACONI IN VETRO DA 100 ML</t>
  </si>
  <si>
    <t>PIPERACILLINA EG</t>
  </si>
  <si>
    <t>"2 G/4 ML  POLVERE E SOLVENTE PER SOLUZIONE INIETTABILE" 1 FLACONCINO  + 1 FIALA SOLVENTE 4 ML</t>
  </si>
  <si>
    <t>"1 G POLVERE E SOLVENTE PER SOLUZIONE INIETTABILE PER USO INTRAMUSCOLARE" 1 FLACONE + 1 FIALA</t>
  </si>
  <si>
    <t>"2 G POLVERE E SOLVENTE PER SOLUZIONE INIETTABILE PER USO INTRAMUSCOLARE" 1 FLACONE + 1 FIALA</t>
  </si>
  <si>
    <t>"4 G POLVERE PER SOLUZIONE INIETTABILE" 1 FLACONE</t>
  </si>
  <si>
    <t>PLANDER</t>
  </si>
  <si>
    <t>DESTRANO 70</t>
  </si>
  <si>
    <t>"70.000-30 G/500 ML SOLUZIONE PER INFUSIONE"  20 FLACONI 500 ML</t>
  </si>
  <si>
    <t>PNEUMOVAX</t>
  </si>
  <si>
    <t>VACCINO PNEUMOCOCCICO</t>
  </si>
  <si>
    <t>"SOLUZIONE INIETTABILE IN SIRINGA PRERIEMPITA" 1 SIRINGA PRERIEMPITA DA 0,5 ML CON 2 AGHI</t>
  </si>
  <si>
    <t>POTASSIO ASPARTATO MONICO</t>
  </si>
  <si>
    <t>" 1 MEQ/ML  CONCENTRATO PER SOLUZIONE PER INFUSIONE E PER USO ORALE" 10 FIALE DA 10 ML</t>
  </si>
  <si>
    <t>MONICO S.P.A.</t>
  </si>
  <si>
    <t>" 3 MEQ/ML  CONCENTRATO PER SOLUZIONE PER INFUSIONE E PER USO ORALE" 10 FIALE DA 10 ML</t>
  </si>
  <si>
    <t>" 3 MEQ/ML  CONCENTRATO PER SOLUZIONE PER INFUSIONE" 30 FLACONCINI  DA 100 ML</t>
  </si>
  <si>
    <t>" 3 MEQ/ML  CONCENTRATO PER SOLUZIONE PER INFUSIONE" 20 FLACONCINI DA 250 ML</t>
  </si>
  <si>
    <t>POTASSIO ASPARTATO PHARMATEX</t>
  </si>
  <si>
    <t>" 3 MEQ/ 1 ML CONCENTRATO PER SOLUZIONE PER INFUSIONE E PER USO ORALE" 10 FIALE DA 10 ML</t>
  </si>
  <si>
    <t>PHARMATEX ITALIA S.R.L.</t>
  </si>
  <si>
    <t>PREFOLIC</t>
  </si>
  <si>
    <t>CALCIO MEFOLINATO</t>
  </si>
  <si>
    <t>6 FLAC. LIOF. 50 MG+ 6 F SOLV.</t>
  </si>
  <si>
    <t>ZAMBON ITALIA S.R.L.</t>
  </si>
  <si>
    <t>PREVENAR 13</t>
  </si>
  <si>
    <t>VACCINO PNEUMOCOCCICO SACCARIDICO CONIUGATO ADSORBITO</t>
  </si>
  <si>
    <t>" SOSPENSIONE INIETTABILE-USO INTRAMUSCOLARE-SIRINGA PRERIEMPITA (VETRO) 0,5 ML " 1 SIRINGA PRERIEMPITA CON AGO A PARTE</t>
  </si>
  <si>
    <t>PRIORIX</t>
  </si>
  <si>
    <t>VACCINO MORBILLO/PAROTITE/ROSOLIA</t>
  </si>
  <si>
    <t>"POLVERE E SOLVENTE PER SOLUZIONE INIETTABILE IN SIRINGA PRERIEMPITA" 1 FLACONCINO POLVERE + 1 SIRINGA PRERIEMPITA SOLVENTE DA 0,5 ML CON DUE AGHI</t>
  </si>
  <si>
    <t>PROCAINAMIDE CLORIDRATO S.A.L.F.</t>
  </si>
  <si>
    <t>PROCAINAMIDE CLORIDRATO</t>
  </si>
  <si>
    <t>"500 MG/5 ML SOLUZIONE INIETTABILE PER USO ENDOVENOSO" 5 FIALE 5 ML</t>
  </si>
  <si>
    <t>PROLEUKIN</t>
  </si>
  <si>
    <t>ALDESLEUCHINA</t>
  </si>
  <si>
    <t>"18.000.000 UI/ML POLVERE PER SOLUZIONE INIETTABILE O PER INFUSIONE" 1 FL ACONCINO DA 22.000.000 UI PER_x000D_
USO ENDOVENOSO O SOTTOCUTANEO;</t>
  </si>
  <si>
    <t>PROPOFOL B.BRAUN</t>
  </si>
  <si>
    <t>"1% EMULSIONE INIETTABILE O PER INFUSIONE" 10 FLACONCINI  DI VETRO DA 100 ML</t>
  </si>
  <si>
    <t>B. BRAUN MELSUNGEN AG</t>
  </si>
  <si>
    <t>"2% EMULSIONE INIETTABILE O PER INFUSIONE" 10 FLACONCINI DI VETRO DA 50 ML</t>
  </si>
  <si>
    <t>PROPOFOL KABI</t>
  </si>
  <si>
    <t>"10MG/ML EMULSIONE INIETTABILE O PER INFUSIONE" 5 FLACONCINI DA 20 ML</t>
  </si>
  <si>
    <t>"10MG/ML EMULSIONE INIETTABILE O PER INFUSIONE" 10 FLACONCINI DA 100 ML</t>
  </si>
  <si>
    <t>"20MG/ML EMULSIONE INIETTABILE O PER INFUSIONE" 10 FLACONCINI DA 50 ML</t>
  </si>
  <si>
    <t>PROTAMINA MEDA</t>
  </si>
  <si>
    <t>PROTAMINA CLORIDRATO</t>
  </si>
  <si>
    <t>"50 MG/5 ML SOLUZIONE INIETTABILE PER USO ENDOVENOSO"1 FIALA 5 ML</t>
  </si>
  <si>
    <t>MEDA PHARMA S.P.A.</t>
  </si>
  <si>
    <t>RABIPUR</t>
  </si>
  <si>
    <t>VACCINO RABBICO USO UMANO DA COLTURE CELLULARI</t>
  </si>
  <si>
    <t>"POLVERE E SOLVENTE PER SOLUZIONE INIETTABILE" 1 FLACONCINO POLVERE + 1 FIALA SOLVENTE DA 1 ML CON SIRINGA</t>
  </si>
  <si>
    <t>GLAXOSMITHKLINE VACCINES GMBH</t>
  </si>
  <si>
    <t>RANEXA</t>
  </si>
  <si>
    <t>RANOLAZINA</t>
  </si>
  <si>
    <t>"500 MG - COMPRESSA A RILASCIO PROLUNGATO- USO ORALE - BLISTER (PVC/PVDC/ALLUMINIO)"  60 COMPRESSE</t>
  </si>
  <si>
    <t>MENARINI INTERNATIONAL OPERATIONS LUXEMBOURG S.A.</t>
  </si>
  <si>
    <t>REBETOL</t>
  </si>
  <si>
    <t>RIBAVIRINA</t>
  </si>
  <si>
    <t>200 MG 140 CAPSULE RIGIDE IN BLISTER</t>
  </si>
  <si>
    <t>Il medicinale sarà in cessata commercializzazione permanente a partire da dicembre 2021</t>
  </si>
  <si>
    <t>REOPRO</t>
  </si>
  <si>
    <t>ABCIXIMAB</t>
  </si>
  <si>
    <t>1 FLACONE 10 MG/5 ML</t>
  </si>
  <si>
    <t>JANSSEN BIOLOGICS B.V.</t>
  </si>
  <si>
    <t>RIDUTOX</t>
  </si>
  <si>
    <t>SO.SE.PHARM S.R.L. SOCIETA' DI SERVIZIO PER L'INDUSTRIA FARMACEUTICA ED AFFINI</t>
  </si>
  <si>
    <t>RIFINAH</t>
  </si>
  <si>
    <t>RIFAMPICINA/ISONIAZIDE</t>
  </si>
  <si>
    <t>"300 MG/150 MG COMPRESSE RIVESTITE" 24 COMPRESSE</t>
  </si>
  <si>
    <t>RIZEN</t>
  </si>
  <si>
    <t>CLOTIAZEPAM</t>
  </si>
  <si>
    <t>"5 MG COMPRESSE" 40 COMPRESSE</t>
  </si>
  <si>
    <t>GRUNENTHAL ITALIA S.R.L.</t>
  </si>
  <si>
    <t>"10 MG COMPRESSE" 30 COMPRESSE</t>
  </si>
  <si>
    <t>"10 MG/ML GOCCE ORALI, SOLUZIONE" FLACONE 20 ML</t>
  </si>
  <si>
    <t>ROACTEMRA</t>
  </si>
  <si>
    <t>TOCILIZUMAB</t>
  </si>
  <si>
    <t>162 MG - SOLUZIONE INIETTABILE - USO SOTTOCUTANEO - SIRINGA PRERIEMPITA 0,9ML (VETRO) - 4 SIRINGHE PRERIEMPITE</t>
  </si>
  <si>
    <t>ROCHE REGISTRATION GMBH</t>
  </si>
  <si>
    <t>RUCONEST</t>
  </si>
  <si>
    <t>CONESTAT ALFA</t>
  </si>
  <si>
    <t>"2100 U - POLVERE PER SOLUZIONE INIETTABILE - USO ENDOVENOSO - FLACONCINO(VETRO)" 1 FLACONCINO DA 2100 U</t>
  </si>
  <si>
    <t>PHARMING GROUP N. V.</t>
  </si>
  <si>
    <t>SABRIL</t>
  </si>
  <si>
    <t>VIGABATRIN</t>
  </si>
  <si>
    <t>«500 MG COMPRESSE RIVESTITE CON  FILM» 50 COMPRESSE</t>
  </si>
  <si>
    <t>SALAZOPYRIN EN</t>
  </si>
  <si>
    <t>SULFASALAZINA</t>
  </si>
  <si>
    <t>"500 MG COMPRESSE GASTRORESISTENTI" FLACONE IN HDPE DA 100 COMPRESSE</t>
  </si>
  <si>
    <t>SANDIMMUN</t>
  </si>
  <si>
    <t>CICLOSPORINA</t>
  </si>
  <si>
    <t>"100 MG/ML SOLUZIONE ORALE" FLACONE 50 ML + 2 SIRINGHE</t>
  </si>
  <si>
    <t>Problemi regolatori</t>
  </si>
  <si>
    <t>SANDOMIGRAN</t>
  </si>
  <si>
    <t>PIZOTIFENE MALEATO</t>
  </si>
  <si>
    <t>"0,5 MG COMPRESSE RIVESTITE" 20 COMPRESSE</t>
  </si>
  <si>
    <t>PHOENIX LABS</t>
  </si>
  <si>
    <t>SANIFOLIN</t>
  </si>
  <si>
    <t>CALCIO FOLINATO</t>
  </si>
  <si>
    <t>"50 MG POLVERE PER SOLUZIONE INIETTABILE"1 FLACONE</t>
  </si>
  <si>
    <t>FAR.G.IM. S.R.L.</t>
  </si>
  <si>
    <t>SENSHIO</t>
  </si>
  <si>
    <t>OSPEMIFENE</t>
  </si>
  <si>
    <t>60 MG - COMPRESSA RIVESTITA CON FILM - USO ORALE  - BLISTER (PVC/PVDC-ALLUMINIO) - 28  COMPRESSE</t>
  </si>
  <si>
    <t>SHIONOGI BV</t>
  </si>
  <si>
    <t>SERENASE</t>
  </si>
  <si>
    <t>ALOPERIDOLO</t>
  </si>
  <si>
    <t>"2 MG/2 ML SOLUZIONE INIETTABILE PER USO INTRAMUSCOLARE" 5 FIALE DA 2 ML</t>
  </si>
  <si>
    <t>"5 MG/2 ML SOLUZIONE INIETTABILE PER USO INTRAMUSCOLARE" 5 FIALE DA 2 ML</t>
  </si>
  <si>
    <t>SIGMACILLINA</t>
  </si>
  <si>
    <t>BENZILPENICILLINA BENZATINICA</t>
  </si>
  <si>
    <t>"1.200.000 UI/2,5 ML SOSPENSIONE INIETTABILE PER USO INTRAMUSCOLARE "  1 SIRINGA PRERIEMPITA DA 2,5 ML</t>
  </si>
  <si>
    <t>SINTROM</t>
  </si>
  <si>
    <t>ACENOCUMAROLO</t>
  </si>
  <si>
    <t>"4 MG COMPRESSE" 20 COMPRESSE QUADRISECABILI</t>
  </si>
  <si>
    <t>MERUS LABS LUXCO II SARL</t>
  </si>
  <si>
    <t>Il titolare ha comunicato una possibile discontinuità di fornitura anche per il periodo 26/03/2020-10/04/2020</t>
  </si>
  <si>
    <t>SODIO INDIGOTINDISULFONATO MONICO</t>
  </si>
  <si>
    <t>SODIO INDIGOTINDISOLFONATO</t>
  </si>
  <si>
    <t>"40 MG/10 ML SOLUZIONE INIETTABILE" 10 FIALE 10 ML</t>
  </si>
  <si>
    <t>SODIO NITROPRUSSIATO</t>
  </si>
  <si>
    <t>SODIO NITROPRUSSIATO ANIDRO</t>
  </si>
  <si>
    <t>"100 MG POLVERE E SOLVENTE PER SOLUZIONE PER INFUSIONE"3 FIALE POLVERE.+3 FIALE SOLVENTE 5 ML</t>
  </si>
  <si>
    <t>MALESCI ISTITUTO FARMACOBIOLOGICO S.P.A.</t>
  </si>
  <si>
    <t>SUPREFACT</t>
  </si>
  <si>
    <t>BUSERELIN ACETATO</t>
  </si>
  <si>
    <t>"1 MG/ML SOLUZIONE INIETTABILE" 1 FLACONE DA 5,5 ML</t>
  </si>
  <si>
    <t>CHEPLAPHARM ARZNEIMITTEL GMBH</t>
  </si>
  <si>
    <t>"0,1 MG/EROGAZIONE SPRAY NASALE, SOLUZIONE" 1 FLACONE DA 10 G + EROGATORE</t>
  </si>
  <si>
    <t>TAD</t>
  </si>
  <si>
    <t>"600 MG/4 ML POLVERE E SOLVENTE PER SOLUZIONE INIETTABILE" 5 FLACONCINI POLVERE+ 5 FIALE SOLVENTE 4 ML</t>
  </si>
  <si>
    <t>"600 MG/4 ML POLVERE E SOLVENTE PER SOLUZIONE INIETTABILE"10 FLACONCINI POLVERE+ 10 FIALE SOLVENTE 4 ML</t>
  </si>
  <si>
    <t>"2500 MG/25 ML POLVERE E SOLVENTE PER SOLUZIONE PER INFUSIONE" 1 FLACONCINO POLVERE + 1 FLACONCINO SOLVENTE 25 ML</t>
  </si>
  <si>
    <t>TAZOCIN</t>
  </si>
  <si>
    <t>"2 G + 0,250 G/4 ML POLVERE E SOLVENTE PER SOLUZIONE INIETTABILE PER USO INTRAMUSCOLARE" 1 FLACONCINO POLVERE + 1 FIALA SOLVENTE 4 ML</t>
  </si>
  <si>
    <t>"2 G + 0,250 G POLVERE PER SOLUZIONE PER INFUSIONE" 12 FLACONCINI</t>
  </si>
  <si>
    <t>" 4 G + 0,500 G POLVERE PER SOLUZIONE PER INFUSIONE " 12 FLACONCINI DI POLVERE</t>
  </si>
  <si>
    <t>TESTIM</t>
  </si>
  <si>
    <t>TESTOSTERONE</t>
  </si>
  <si>
    <t>" 50 MG  GEL " 30 TUBI MONODOSE  DA 5 G</t>
  </si>
  <si>
    <t>ENDO VENTURES LIMITED</t>
  </si>
  <si>
    <t>TESTOGEL</t>
  </si>
  <si>
    <t>30 BUSTINE DI GEL DA 50 MG</t>
  </si>
  <si>
    <t>LABORATOIRES BESINS INTERNATIONAL</t>
  </si>
  <si>
    <t>TESTOVIRON</t>
  </si>
  <si>
    <t>TESTOSTERONE ENANTATO</t>
  </si>
  <si>
    <t>"250 MG/ML SOLUZIONE INIETTABILE A RILASCIO PROLUNGATO PER USO INTRAMUSCOLARE"1 FIALA 1 ML</t>
  </si>
  <si>
    <t>TETANUS GAMMA</t>
  </si>
  <si>
    <t>IMMUNOGLOBULINA UMANA ANTITETANICA</t>
  </si>
  <si>
    <t>"250 U.I./1 ML SOLUZIONE INIETTABILE PER USO INTRAMUSCOLARE" 1 SIRINGA PRERIEMPITA DA 1 ML</t>
  </si>
  <si>
    <t>TEXTAZO</t>
  </si>
  <si>
    <t>PIPERACILLINA SODICA + TAZOBACTAM</t>
  </si>
  <si>
    <t>" 2 G + 250MG/4 ML POLVERE E SOLVENTE PER SOLUZIONE INIETTABILEPER USO INTRAMUSCOLARE" 1 FLACONCINO POLVERE + 1 FIALA SOLVENTE</t>
  </si>
  <si>
    <t>" 4 G + 500 MG POLVERE PER SOLUZIONE PER INFUSIONE " 1 FLACONCINO POLVERE</t>
  </si>
  <si>
    <t>THIOMED</t>
  </si>
  <si>
    <t>"600 MG/4 ML POLVERE E SOLVENTE PER SOLUZIONE INIETTABILE" 5 FLACONCINI POLVERE + 5 FIALE SOLVENTE</t>
  </si>
  <si>
    <t>ESSETI FARMACEUTICI S.R.L.</t>
  </si>
  <si>
    <t>"600 MG/4 ML POLVERE E SOLVENTE PER SOLUZIONE INIETTABILE" 10 FLACONCINI POLVERE + 10 FIALE SOLVENTE</t>
  </si>
  <si>
    <t>TIENOR</t>
  </si>
  <si>
    <t>FARMAKA S.R.L.</t>
  </si>
  <si>
    <t>TILADE</t>
  </si>
  <si>
    <t>NEDOCROMILE SODICO</t>
  </si>
  <si>
    <t>"10 MG/2 ML SOLUZIONE DA NEBULIZZARE" 36 FIALE</t>
  </si>
  <si>
    <t>TIMECEF</t>
  </si>
  <si>
    <t>TIOREDOX</t>
  </si>
  <si>
    <t>FLAC 4,8 G POLV LIOF + FLAC 50 ML SOLV X SOL. INF.</t>
  </si>
  <si>
    <t>FLAC 2,4 G POLV LIOF+FLAC 25 ML SOLV X SOL. INFUS.</t>
  </si>
  <si>
    <t>TRACRIUM</t>
  </si>
  <si>
    <t>"25 MG/2,5 ML SOLUZIONE INIETTABILE PER USO ENDOVENOSO" 5 FIALE  DA 2,5 ML</t>
  </si>
  <si>
    <t>"50 MG/5 ML SOLUZIONE INIETTABILE PER USO ENDOVENOSO" 5 FIALE DA 5 ML</t>
  </si>
  <si>
    <t>TRIESENCE</t>
  </si>
  <si>
    <t>TRIAMCINOLONE ACETONIDE</t>
  </si>
  <si>
    <t>40MG/ML SOSPENSIONE INIETTABILE   1 FLACONCINO IN VETRO MONODOSE DA 1 ML</t>
  </si>
  <si>
    <t>TWINRIX</t>
  </si>
  <si>
    <t>VACCINO EPATITE A INATTIVATO/EPATITE B DA DNA RICOMBINANTE</t>
  </si>
  <si>
    <t>"ADULTI 20 MCG/ML - SOSPENSIONE INIETTABILE - USO INTRAMUSCOLARE" 1 SIRINGA PRERIEMPITA CON AGO SEPARATO</t>
  </si>
  <si>
    <t>UROCHINASI EG</t>
  </si>
  <si>
    <t>UROCHINASI</t>
  </si>
  <si>
    <t>"25.000 U.I./2 ML POLVERE E SOLVENTE PER SOLUZIONE INIETTABILE" 1 FLACONE POLVERE + 1 FIALA SOLVENTE 2 ML</t>
  </si>
  <si>
    <t>Fino al 28/02/2021 il medicinale è disponbile ma in distribuzione contingenta; dal 01/03/2021 il medicinale sarà totalmente carente</t>
  </si>
  <si>
    <t>"500.000 U.I./5 ML POLVERE E SOLVENTE PER SOLUZIONE INIETTABILE" 1 FLACONE POLVERE + 1 FIALA SOLVENTE 5 ML</t>
  </si>
  <si>
    <t>Fino al 30/04/2021 il medicinale è disponbile ma in distribuzione contingenta; dal 01/05/2021 il medicinale sarà totalmente carente</t>
  </si>
  <si>
    <t>"1.000.000 U.I./5 ML POLVERE E SOLVENTE PER SOLUZIONE INIETTABILE" 1 FLACONE POLVERE + 1 FIALA SOLVENTE 5 ML</t>
  </si>
  <si>
    <t>Fino al 31/07/2021 il medicinale è disponbile ma in distribuzione contingenta; dal 01/08/2021 il medicinale sarà totalmente carente</t>
  </si>
  <si>
    <t>URSACOL</t>
  </si>
  <si>
    <t>ACIDO URSODESOSSICOLICO</t>
  </si>
  <si>
    <t>"50 MG COMPRESSE" 40 COMPRESSE</t>
  </si>
  <si>
    <t>URSILON</t>
  </si>
  <si>
    <t>" 150 MG GRANULATO PER SOSPENSIONE ORALE " 20 BUSTINE</t>
  </si>
  <si>
    <t>ISTITUTO BIOCHIMICO ITALIANO GIOVANNI LORENZINI S.P.A.</t>
  </si>
  <si>
    <t>URSOBIL</t>
  </si>
  <si>
    <t>ACIDO URSODESOSSICOLICO ESTERE SOLFORICO SALE SODICO</t>
  </si>
  <si>
    <t>"31,7 MG/ML SCIROPPO" FLACONE 200 ML</t>
  </si>
  <si>
    <t>ABC FARMACEUTICI S.P.A.</t>
  </si>
  <si>
    <t>URSULTEC</t>
  </si>
  <si>
    <t>"3 G/100 ML SCIROPPO" FLACONE 200 ML</t>
  </si>
  <si>
    <t>VAXIGRIP TETRA</t>
  </si>
  <si>
    <t>VACCINO INFLUENZALE INATTIVATO</t>
  </si>
  <si>
    <t>"0,5 ML SOSPENSIONE INIETTABILE IN SIRINGA PRERIEMPITA" 1 SIRINGA IN VETRO CON AGO</t>
  </si>
  <si>
    <t>Elevata richiesta (carenza relativa solo al canale ospedaliero)</t>
  </si>
  <si>
    <t>"0,5 ML SOSPENSIONE INIETTABILE IN SIRINGA PRERIEMPITA" 10 SIRINGHE IN VETRO CON AGO</t>
  </si>
  <si>
    <t>VELBE</t>
  </si>
  <si>
    <t>VINBLASTINA SOLFATO</t>
  </si>
  <si>
    <t>"10  MG  POLVERE  PER  SOLUZIONE  PER INFUSIONE" 1 FLACONCINO 10 MG</t>
  </si>
  <si>
    <t>VINBLASTINA TEVA</t>
  </si>
  <si>
    <t>"1 MG/ML SOLUZIONE INIETTABILE" 1 FLACONCINO  DA 10 ML</t>
  </si>
  <si>
    <t>VIRUXAN</t>
  </si>
  <si>
    <t>METISOPRINOLO</t>
  </si>
  <si>
    <t>"500 MG COMPRESSE" 40 COMPRESSE IN BLISTER</t>
  </si>
  <si>
    <t>ALFASIGMA S.P.A.</t>
  </si>
  <si>
    <t>"5% SCIROPPO" FLACONE 120 ML</t>
  </si>
  <si>
    <t>"1 G GRANULATO PER SOLUZIONE ORALE" 20 BUSTINE</t>
  </si>
  <si>
    <t>VISUDYNE</t>
  </si>
  <si>
    <t>VERTEPORFINA</t>
  </si>
  <si>
    <t>15 MG POLVERE PER SOLUZIONE PER INFUSIONE ENDOVENOSA 1 FLACONCINO 10 ML USO EV</t>
  </si>
  <si>
    <t>VIT A N</t>
  </si>
  <si>
    <t>RETINOLO ACETATO</t>
  </si>
  <si>
    <t>"25.000UI/100 G UNGUENTO OFTALMICO" TUBO DA 5 G</t>
  </si>
  <si>
    <t>FARMIGEA S.R.L.</t>
  </si>
  <si>
    <t>VIT.K SALF</t>
  </si>
  <si>
    <t>MENADIOLO SODIO BISOLFITO</t>
  </si>
  <si>
    <t>IM 5 FIALE 2 ML 50 MG</t>
  </si>
  <si>
    <t>IM 5 FIALE 2 ML 10 MG</t>
  </si>
  <si>
    <t>WILFACTIN</t>
  </si>
  <si>
    <t>FATTORE DI VON WILLEBRAND</t>
  </si>
  <si>
    <t>?100 UI/ML POLVERE E SOLVENTE PER SOLUZIONE INIETTABILE? 1 FLACONCINO IN VETRO DA 1000 UI POLVERE + 1 FIALA IN VETRO DA 10 ML SOLVENTE + SISTEMA DI TRASFERIMENTO</t>
  </si>
  <si>
    <t>LABORATOIRE FRANCAIS DU FRACTIONNEMENT ET DES BIOTECHNOLOGIES</t>
  </si>
  <si>
    <t>ZAVEDOS</t>
  </si>
  <si>
    <t>"5 MG CAPSULE RIGIDE" FLACONE DA 1 CAPSULA</t>
  </si>
  <si>
    <t>"10 MG CAPSULE RIGIDE" FLACONE DA 1 CAPSULA</t>
  </si>
  <si>
    <t>"25 MG CAPSULE RIGIDE" FLACONE DA 1 CAPSULA</t>
  </si>
  <si>
    <t>ZEMPLAR</t>
  </si>
  <si>
    <t>PARACALCITOLO</t>
  </si>
  <si>
    <t>"5 MCG/ML SOLUZIONE INIETTABILE" 5 FLACONCINI IN VETRO DA 1 ML</t>
  </si>
  <si>
    <t>ABBVIE S.R.L.</t>
  </si>
  <si>
    <t>ZENTEL</t>
  </si>
  <si>
    <t>ALBENDAZOLO</t>
  </si>
  <si>
    <t>" 400 MG COMPRESSE " 3 COMPRESSE</t>
  </si>
  <si>
    <t>LABORATOIRE GLAXOSMITHKLINE</t>
  </si>
  <si>
    <t>ZIRABEV</t>
  </si>
  <si>
    <t>BEVACIZUMAB</t>
  </si>
  <si>
    <t>25 MG/ML - CONCENTRATO PER SOLUZIONE PER INFUSIONE - USO ENDOVENOSO - FLACONCINO (VETRO) - 4 ML (25 MG/ML) - 1 FLACONCINO</t>
  </si>
  <si>
    <t>ZITROMAX</t>
  </si>
  <si>
    <t>AZITROMICINA DIIDRATO</t>
  </si>
  <si>
    <t>"500 MG POLVERE PER SOLUZIONE PER INFUSIONE" 1 FLACONCINO</t>
  </si>
  <si>
    <t>ZOFRAN</t>
  </si>
  <si>
    <t>ONDANSETRONE CLORIDRATO</t>
  </si>
  <si>
    <t>"16 MG SUPPOSTE" 4 SUPPOSTE</t>
  </si>
  <si>
    <t>ZOVIRAX</t>
  </si>
  <si>
    <t>ACICLOVIR</t>
  </si>
  <si>
    <t>"500 MG POLVERE PER SOLUZIONE INIETTABILE PER USO ENDOVENOSO"  5 FLACONCINI</t>
  </si>
  <si>
    <t>Elenco Medicinali Carenti Importati Aggiornato Al 05/11/2020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</si>
</sst>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9"/>
      <color indexed="16"/>
      <name val="Calibri"/>
    </font>
    <font>
      <b/>
      <sz val="11"/>
      <color indexed="9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14"/>
      </patternFill>
    </fill>
    <fill>
      <patternFill patternType="solid">
        <fgColor indexed="47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94">
    <xf numFmtId="0" fontId="0" fillId="0" borderId="0" xfId="0"/>
    <xf numFmtId="0" fontId="2" fillId="2" borderId="1" xfId="0" applyFont="1" applyFill="1" applyBorder="1"/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6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8"/>
  <sheetViews>
    <sheetView tabSelected="1" workbookViewId="0">
      <selection activeCell="B4" sqref="B4"/>
    </sheetView>
  </sheetViews>
  <sheetFormatPr defaultRowHeight="14.4" x14ac:dyDescent="0.3"/>
  <cols>
    <col min="1" max="1" width="22" bestFit="1" customWidth="1"/>
    <col min="2" max="2" width="17.6640625" bestFit="1" customWidth="1"/>
    <col min="3" max="4" width="29.33203125" bestFit="1" customWidth="1"/>
    <col min="5" max="5" width="22" bestFit="1" customWidth="1"/>
    <col min="6" max="8" width="13.21875" bestFit="1" customWidth="1"/>
    <col min="9" max="9" width="22" bestFit="1" customWidth="1"/>
    <col min="10" max="11" width="29.33203125" bestFit="1" customWidth="1"/>
  </cols>
  <sheetData>
    <row r="1" spans="1:11" x14ac:dyDescent="0.3">
      <c r="A1" s="393" t="s">
        <v>0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</row>
    <row r="2" spans="1:11" x14ac:dyDescent="0.3">
      <c r="A2" s="392" t="s">
        <v>786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</row>
    <row r="3" spans="1:11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1" ht="86.4" x14ac:dyDescent="0.3">
      <c r="A4" s="3" t="s">
        <v>12</v>
      </c>
      <c r="B4" s="3" t="str">
        <f>"038736070"</f>
        <v>038736070</v>
      </c>
      <c r="C4" s="3" t="s">
        <v>13</v>
      </c>
      <c r="D4" s="3" t="s">
        <v>14</v>
      </c>
      <c r="E4" s="3" t="s">
        <v>15</v>
      </c>
      <c r="F4" s="2">
        <v>44105</v>
      </c>
      <c r="G4" s="2">
        <v>44165</v>
      </c>
      <c r="H4" s="4" t="s">
        <v>16</v>
      </c>
      <c r="I4" s="3" t="s">
        <v>17</v>
      </c>
      <c r="J4" s="3" t="s">
        <v>18</v>
      </c>
      <c r="K4" s="3"/>
    </row>
    <row r="5" spans="1:11" ht="86.4" x14ac:dyDescent="0.3">
      <c r="A5" s="3" t="s">
        <v>12</v>
      </c>
      <c r="B5" s="3" t="str">
        <f>"038736094"</f>
        <v>038736094</v>
      </c>
      <c r="C5" s="3" t="s">
        <v>13</v>
      </c>
      <c r="D5" s="3" t="s">
        <v>19</v>
      </c>
      <c r="E5" s="3" t="s">
        <v>15</v>
      </c>
      <c r="F5" s="2">
        <v>44035</v>
      </c>
      <c r="G5" s="2">
        <v>44165</v>
      </c>
      <c r="H5" s="5" t="s">
        <v>16</v>
      </c>
      <c r="I5" s="3" t="s">
        <v>20</v>
      </c>
      <c r="J5" s="3" t="s">
        <v>18</v>
      </c>
      <c r="K5" s="3"/>
    </row>
    <row r="6" spans="1:11" ht="86.4" x14ac:dyDescent="0.3">
      <c r="A6" s="3" t="s">
        <v>12</v>
      </c>
      <c r="B6" s="3" t="str">
        <f>"038736118"</f>
        <v>038736118</v>
      </c>
      <c r="C6" s="3" t="s">
        <v>13</v>
      </c>
      <c r="D6" s="3" t="s">
        <v>21</v>
      </c>
      <c r="E6" s="3" t="s">
        <v>15</v>
      </c>
      <c r="F6" s="2">
        <v>44105</v>
      </c>
      <c r="G6" s="2">
        <v>44165</v>
      </c>
      <c r="H6" s="6" t="s">
        <v>16</v>
      </c>
      <c r="I6" s="3" t="s">
        <v>20</v>
      </c>
      <c r="J6" s="3" t="s">
        <v>18</v>
      </c>
      <c r="K6" s="3"/>
    </row>
    <row r="7" spans="1:11" ht="115.2" x14ac:dyDescent="0.3">
      <c r="A7" s="3" t="s">
        <v>22</v>
      </c>
      <c r="B7" s="3" t="str">
        <f>"027980010"</f>
        <v>027980010</v>
      </c>
      <c r="C7" s="3" t="s">
        <v>23</v>
      </c>
      <c r="D7" s="3" t="s">
        <v>24</v>
      </c>
      <c r="E7" s="3" t="s">
        <v>25</v>
      </c>
      <c r="F7" s="2">
        <v>43649</v>
      </c>
      <c r="G7" s="2">
        <v>44196</v>
      </c>
      <c r="H7" s="7" t="s">
        <v>26</v>
      </c>
      <c r="I7" s="3" t="s">
        <v>27</v>
      </c>
      <c r="J7" s="3" t="s">
        <v>28</v>
      </c>
      <c r="K7" s="3" t="s">
        <v>29</v>
      </c>
    </row>
    <row r="8" spans="1:11" ht="57.6" x14ac:dyDescent="0.3">
      <c r="A8" s="3" t="s">
        <v>22</v>
      </c>
      <c r="B8" s="3" t="str">
        <f>"027980022"</f>
        <v>027980022</v>
      </c>
      <c r="C8" s="3" t="s">
        <v>23</v>
      </c>
      <c r="D8" s="3" t="s">
        <v>30</v>
      </c>
      <c r="E8" s="3" t="s">
        <v>25</v>
      </c>
      <c r="F8" s="2">
        <v>44096</v>
      </c>
      <c r="G8" s="2"/>
      <c r="H8" s="8" t="s">
        <v>26</v>
      </c>
      <c r="I8" s="9" t="s">
        <v>31</v>
      </c>
      <c r="J8" s="3" t="s">
        <v>32</v>
      </c>
      <c r="K8" s="3"/>
    </row>
    <row r="9" spans="1:11" ht="57.6" x14ac:dyDescent="0.3">
      <c r="A9" s="3" t="s">
        <v>22</v>
      </c>
      <c r="B9" s="3" t="str">
        <f>"027980034"</f>
        <v>027980034</v>
      </c>
      <c r="C9" s="3" t="s">
        <v>23</v>
      </c>
      <c r="D9" s="3" t="s">
        <v>33</v>
      </c>
      <c r="E9" s="3" t="s">
        <v>25</v>
      </c>
      <c r="F9" s="2">
        <v>44061</v>
      </c>
      <c r="G9" s="2"/>
      <c r="H9" s="10" t="s">
        <v>16</v>
      </c>
      <c r="I9" s="11" t="s">
        <v>31</v>
      </c>
      <c r="J9" s="3" t="s">
        <v>32</v>
      </c>
      <c r="K9" s="3"/>
    </row>
    <row r="10" spans="1:11" ht="57.6" x14ac:dyDescent="0.3">
      <c r="A10" s="3" t="s">
        <v>34</v>
      </c>
      <c r="B10" s="3" t="str">
        <f>"044325013"</f>
        <v>044325013</v>
      </c>
      <c r="C10" s="3" t="s">
        <v>35</v>
      </c>
      <c r="D10" s="3" t="s">
        <v>36</v>
      </c>
      <c r="E10" s="3" t="s">
        <v>37</v>
      </c>
      <c r="F10" s="2">
        <v>43983</v>
      </c>
      <c r="G10" s="2">
        <v>44135</v>
      </c>
      <c r="H10" s="12" t="s">
        <v>16</v>
      </c>
      <c r="I10" s="3" t="s">
        <v>20</v>
      </c>
      <c r="J10" s="3" t="s">
        <v>32</v>
      </c>
      <c r="K10" s="3"/>
    </row>
    <row r="11" spans="1:11" ht="158.4" x14ac:dyDescent="0.3">
      <c r="A11" s="3" t="s">
        <v>38</v>
      </c>
      <c r="B11" s="3" t="str">
        <f>"045936061"</f>
        <v>045936061</v>
      </c>
      <c r="C11" s="3" t="s">
        <v>39</v>
      </c>
      <c r="D11" s="3" t="s">
        <v>40</v>
      </c>
      <c r="E11" s="3" t="s">
        <v>41</v>
      </c>
      <c r="F11" s="2">
        <v>44078</v>
      </c>
      <c r="G11" s="2">
        <v>44255</v>
      </c>
      <c r="H11" s="13" t="s">
        <v>16</v>
      </c>
      <c r="I11" s="3" t="s">
        <v>42</v>
      </c>
      <c r="J11" s="3" t="s">
        <v>32</v>
      </c>
      <c r="K11" s="3"/>
    </row>
    <row r="12" spans="1:11" ht="57.6" x14ac:dyDescent="0.3">
      <c r="A12" s="3" t="s">
        <v>43</v>
      </c>
      <c r="B12" s="3" t="str">
        <f>"033181049"</f>
        <v>033181049</v>
      </c>
      <c r="C12" s="3" t="s">
        <v>44</v>
      </c>
      <c r="D12" s="3" t="s">
        <v>45</v>
      </c>
      <c r="E12" s="3" t="s">
        <v>46</v>
      </c>
      <c r="F12" s="2">
        <v>43784</v>
      </c>
      <c r="G12" s="2"/>
      <c r="H12" s="14" t="s">
        <v>16</v>
      </c>
      <c r="I12" s="15" t="s">
        <v>31</v>
      </c>
      <c r="J12" s="3" t="s">
        <v>32</v>
      </c>
      <c r="K12" s="3"/>
    </row>
    <row r="13" spans="1:11" ht="28.8" x14ac:dyDescent="0.3">
      <c r="A13" s="3" t="s">
        <v>47</v>
      </c>
      <c r="B13" s="3" t="str">
        <f>"026363010"</f>
        <v>026363010</v>
      </c>
      <c r="C13" s="3" t="s">
        <v>48</v>
      </c>
      <c r="D13" s="3" t="s">
        <v>49</v>
      </c>
      <c r="E13" s="3" t="s">
        <v>50</v>
      </c>
      <c r="F13" s="2">
        <v>43727</v>
      </c>
      <c r="G13" s="2">
        <v>44561</v>
      </c>
      <c r="H13" s="16" t="s">
        <v>16</v>
      </c>
      <c r="I13" s="3" t="s">
        <v>20</v>
      </c>
      <c r="J13" s="3" t="s">
        <v>51</v>
      </c>
      <c r="K13" s="3"/>
    </row>
    <row r="14" spans="1:11" ht="72" x14ac:dyDescent="0.3">
      <c r="A14" s="3" t="s">
        <v>52</v>
      </c>
      <c r="B14" s="3" t="str">
        <f>"021250028"</f>
        <v>021250028</v>
      </c>
      <c r="C14" s="3" t="s">
        <v>53</v>
      </c>
      <c r="D14" s="3" t="s">
        <v>54</v>
      </c>
      <c r="E14" s="3" t="s">
        <v>55</v>
      </c>
      <c r="F14" s="2">
        <v>44013</v>
      </c>
      <c r="G14" s="2">
        <v>44227</v>
      </c>
      <c r="H14" s="17" t="s">
        <v>26</v>
      </c>
      <c r="I14" s="3" t="s">
        <v>20</v>
      </c>
      <c r="J14" s="3" t="s">
        <v>32</v>
      </c>
      <c r="K14" s="3"/>
    </row>
    <row r="15" spans="1:11" ht="86.4" x14ac:dyDescent="0.3">
      <c r="A15" s="3" t="s">
        <v>56</v>
      </c>
      <c r="B15" s="3" t="str">
        <f>"029250089"</f>
        <v>029250089</v>
      </c>
      <c r="C15" s="3" t="s">
        <v>57</v>
      </c>
      <c r="D15" s="3" t="s">
        <v>58</v>
      </c>
      <c r="E15" s="3" t="s">
        <v>59</v>
      </c>
      <c r="F15" s="2">
        <v>43983</v>
      </c>
      <c r="G15" s="2">
        <v>44196</v>
      </c>
      <c r="H15" s="18" t="s">
        <v>16</v>
      </c>
      <c r="I15" s="3" t="s">
        <v>20</v>
      </c>
      <c r="J15" s="3" t="s">
        <v>32</v>
      </c>
      <c r="K15" s="3"/>
    </row>
    <row r="16" spans="1:11" ht="57.6" x14ac:dyDescent="0.3">
      <c r="A16" s="3" t="s">
        <v>60</v>
      </c>
      <c r="B16" s="3" t="str">
        <f>"043978016"</f>
        <v>043978016</v>
      </c>
      <c r="C16" s="3" t="s">
        <v>61</v>
      </c>
      <c r="D16" s="3" t="s">
        <v>62</v>
      </c>
      <c r="E16" s="3" t="s">
        <v>63</v>
      </c>
      <c r="F16" s="2">
        <v>44217</v>
      </c>
      <c r="G16" s="2"/>
      <c r="H16" s="19" t="s">
        <v>26</v>
      </c>
      <c r="I16" s="3" t="s">
        <v>20</v>
      </c>
      <c r="J16" s="3" t="s">
        <v>32</v>
      </c>
      <c r="K16" s="3"/>
    </row>
    <row r="17" spans="1:11" ht="57.6" x14ac:dyDescent="0.3">
      <c r="A17" s="3" t="s">
        <v>60</v>
      </c>
      <c r="B17" s="3" t="str">
        <f>"043978081"</f>
        <v>043978081</v>
      </c>
      <c r="C17" s="3" t="s">
        <v>61</v>
      </c>
      <c r="D17" s="3" t="s">
        <v>64</v>
      </c>
      <c r="E17" s="3" t="s">
        <v>63</v>
      </c>
      <c r="F17" s="2">
        <v>44125</v>
      </c>
      <c r="G17" s="2"/>
      <c r="H17" s="20" t="s">
        <v>26</v>
      </c>
      <c r="I17" s="3" t="s">
        <v>20</v>
      </c>
      <c r="J17" s="3" t="s">
        <v>32</v>
      </c>
      <c r="K17" s="3"/>
    </row>
    <row r="18" spans="1:11" ht="57.6" x14ac:dyDescent="0.3">
      <c r="A18" s="3" t="s">
        <v>65</v>
      </c>
      <c r="B18" s="3" t="str">
        <f>"033452083"</f>
        <v>033452083</v>
      </c>
      <c r="C18" s="3" t="s">
        <v>66</v>
      </c>
      <c r="D18" s="3" t="s">
        <v>67</v>
      </c>
      <c r="E18" s="3" t="s">
        <v>68</v>
      </c>
      <c r="F18" s="2">
        <v>43427</v>
      </c>
      <c r="G18" s="2"/>
      <c r="H18" s="21" t="s">
        <v>16</v>
      </c>
      <c r="I18" s="3" t="s">
        <v>20</v>
      </c>
      <c r="J18" s="3" t="s">
        <v>32</v>
      </c>
      <c r="K18" s="3"/>
    </row>
    <row r="19" spans="1:11" ht="72" x14ac:dyDescent="0.3">
      <c r="A19" s="3" t="s">
        <v>69</v>
      </c>
      <c r="B19" s="3" t="str">
        <f>"033121029"</f>
        <v>033121029</v>
      </c>
      <c r="C19" s="3" t="s">
        <v>70</v>
      </c>
      <c r="D19" s="3" t="s">
        <v>71</v>
      </c>
      <c r="E19" s="3" t="s">
        <v>72</v>
      </c>
      <c r="F19" s="2">
        <v>42424</v>
      </c>
      <c r="G19" s="2"/>
      <c r="H19" s="22" t="s">
        <v>16</v>
      </c>
      <c r="I19" s="23" t="s">
        <v>73</v>
      </c>
      <c r="J19" s="3" t="s">
        <v>32</v>
      </c>
      <c r="K19" s="3"/>
    </row>
    <row r="20" spans="1:11" ht="57.6" x14ac:dyDescent="0.3">
      <c r="A20" s="3" t="s">
        <v>69</v>
      </c>
      <c r="B20" s="3" t="str">
        <f>"033121017"</f>
        <v>033121017</v>
      </c>
      <c r="C20" s="3" t="s">
        <v>70</v>
      </c>
      <c r="D20" s="3" t="s">
        <v>74</v>
      </c>
      <c r="E20" s="3" t="s">
        <v>72</v>
      </c>
      <c r="F20" s="2">
        <v>42424</v>
      </c>
      <c r="G20" s="2"/>
      <c r="H20" s="24" t="s">
        <v>16</v>
      </c>
      <c r="I20" s="25" t="s">
        <v>73</v>
      </c>
      <c r="J20" s="3" t="s">
        <v>32</v>
      </c>
      <c r="K20" s="3"/>
    </row>
    <row r="21" spans="1:11" ht="57.6" x14ac:dyDescent="0.3">
      <c r="A21" s="3" t="s">
        <v>75</v>
      </c>
      <c r="B21" s="3" t="str">
        <f>"020121048"</f>
        <v>020121048</v>
      </c>
      <c r="C21" s="3" t="s">
        <v>70</v>
      </c>
      <c r="D21" s="3" t="s">
        <v>76</v>
      </c>
      <c r="E21" s="3" t="s">
        <v>77</v>
      </c>
      <c r="F21" s="2">
        <v>42628</v>
      </c>
      <c r="G21" s="2"/>
      <c r="H21" s="26" t="s">
        <v>16</v>
      </c>
      <c r="I21" s="27" t="s">
        <v>31</v>
      </c>
      <c r="J21" s="3" t="s">
        <v>32</v>
      </c>
      <c r="K21" s="3"/>
    </row>
    <row r="22" spans="1:11" ht="57.6" x14ac:dyDescent="0.3">
      <c r="A22" s="3" t="s">
        <v>75</v>
      </c>
      <c r="B22" s="3" t="str">
        <f>"020121087"</f>
        <v>020121087</v>
      </c>
      <c r="C22" s="3" t="s">
        <v>70</v>
      </c>
      <c r="D22" s="3" t="s">
        <v>78</v>
      </c>
      <c r="E22" s="3" t="s">
        <v>77</v>
      </c>
      <c r="F22" s="2">
        <v>42581</v>
      </c>
      <c r="G22" s="2"/>
      <c r="H22" s="28" t="s">
        <v>16</v>
      </c>
      <c r="I22" s="29" t="s">
        <v>31</v>
      </c>
      <c r="J22" s="3" t="s">
        <v>32</v>
      </c>
      <c r="K22" s="3"/>
    </row>
    <row r="23" spans="1:11" ht="57.6" x14ac:dyDescent="0.3">
      <c r="A23" s="3" t="s">
        <v>79</v>
      </c>
      <c r="B23" s="3" t="str">
        <f>"024585034"</f>
        <v>024585034</v>
      </c>
      <c r="C23" s="3" t="s">
        <v>80</v>
      </c>
      <c r="D23" s="3" t="s">
        <v>81</v>
      </c>
      <c r="E23" s="3" t="s">
        <v>82</v>
      </c>
      <c r="F23" s="2">
        <v>44196</v>
      </c>
      <c r="G23" s="2"/>
      <c r="H23" s="30" t="s">
        <v>16</v>
      </c>
      <c r="I23" s="31" t="s">
        <v>31</v>
      </c>
      <c r="J23" s="3" t="s">
        <v>32</v>
      </c>
      <c r="K23" s="3" t="s">
        <v>83</v>
      </c>
    </row>
    <row r="24" spans="1:11" ht="57.6" x14ac:dyDescent="0.3">
      <c r="A24" s="3" t="s">
        <v>84</v>
      </c>
      <c r="B24" s="3" t="str">
        <f>"036170013"</f>
        <v>036170013</v>
      </c>
      <c r="C24" s="3" t="s">
        <v>85</v>
      </c>
      <c r="D24" s="3" t="s">
        <v>86</v>
      </c>
      <c r="E24" s="3" t="s">
        <v>25</v>
      </c>
      <c r="F24" s="2">
        <v>44166</v>
      </c>
      <c r="G24" s="2">
        <v>44227</v>
      </c>
      <c r="H24" s="32" t="s">
        <v>16</v>
      </c>
      <c r="I24" s="3" t="s">
        <v>20</v>
      </c>
      <c r="J24" s="3" t="s">
        <v>32</v>
      </c>
      <c r="K24" s="3"/>
    </row>
    <row r="25" spans="1:11" ht="57.6" x14ac:dyDescent="0.3">
      <c r="A25" s="3" t="s">
        <v>87</v>
      </c>
      <c r="B25" s="3" t="str">
        <f>"005713019"</f>
        <v>005713019</v>
      </c>
      <c r="C25" s="3" t="s">
        <v>88</v>
      </c>
      <c r="D25" s="3" t="s">
        <v>89</v>
      </c>
      <c r="E25" s="3" t="s">
        <v>90</v>
      </c>
      <c r="F25" s="2">
        <v>44287</v>
      </c>
      <c r="G25" s="2"/>
      <c r="H25" s="33" t="s">
        <v>16</v>
      </c>
      <c r="I25" s="34" t="s">
        <v>73</v>
      </c>
      <c r="J25" s="3" t="s">
        <v>32</v>
      </c>
      <c r="K25" s="3"/>
    </row>
    <row r="26" spans="1:11" ht="172.8" x14ac:dyDescent="0.3">
      <c r="A26" s="3" t="s">
        <v>91</v>
      </c>
      <c r="B26" s="3" t="str">
        <f>"035640046"</f>
        <v>035640046</v>
      </c>
      <c r="C26" s="3" t="s">
        <v>92</v>
      </c>
      <c r="D26" s="3" t="s">
        <v>93</v>
      </c>
      <c r="E26" s="3" t="s">
        <v>94</v>
      </c>
      <c r="F26" s="2">
        <v>43921</v>
      </c>
      <c r="G26" s="2">
        <v>44013</v>
      </c>
      <c r="H26" s="35" t="s">
        <v>26</v>
      </c>
      <c r="I26" s="3" t="s">
        <v>42</v>
      </c>
      <c r="J26" s="3" t="s">
        <v>51</v>
      </c>
      <c r="K26" s="3" t="s">
        <v>95</v>
      </c>
    </row>
    <row r="27" spans="1:11" ht="57.6" x14ac:dyDescent="0.3">
      <c r="A27" s="3" t="s">
        <v>96</v>
      </c>
      <c r="B27" s="3" t="str">
        <f>"033247053"</f>
        <v>033247053</v>
      </c>
      <c r="C27" s="3" t="s">
        <v>97</v>
      </c>
      <c r="D27" s="3" t="s">
        <v>98</v>
      </c>
      <c r="E27" s="3" t="s">
        <v>99</v>
      </c>
      <c r="F27" s="2">
        <v>43905</v>
      </c>
      <c r="G27" s="2"/>
      <c r="H27" s="36" t="s">
        <v>16</v>
      </c>
      <c r="I27" s="3" t="s">
        <v>20</v>
      </c>
      <c r="J27" s="3" t="s">
        <v>32</v>
      </c>
      <c r="K27" s="3"/>
    </row>
    <row r="28" spans="1:11" ht="57.6" x14ac:dyDescent="0.3">
      <c r="A28" s="3" t="s">
        <v>100</v>
      </c>
      <c r="B28" s="3" t="str">
        <f>"044273011"</f>
        <v>044273011</v>
      </c>
      <c r="C28" s="3" t="s">
        <v>101</v>
      </c>
      <c r="D28" s="3" t="s">
        <v>102</v>
      </c>
      <c r="E28" s="3" t="s">
        <v>103</v>
      </c>
      <c r="F28" s="2">
        <v>43903</v>
      </c>
      <c r="G28" s="2">
        <v>44104</v>
      </c>
      <c r="H28" s="37" t="s">
        <v>26</v>
      </c>
      <c r="I28" s="3" t="s">
        <v>104</v>
      </c>
      <c r="J28" s="3" t="s">
        <v>32</v>
      </c>
      <c r="K28" s="3"/>
    </row>
    <row r="29" spans="1:11" ht="57.6" x14ac:dyDescent="0.3">
      <c r="A29" s="3" t="s">
        <v>105</v>
      </c>
      <c r="B29" s="3" t="str">
        <f>"034483014"</f>
        <v>034483014</v>
      </c>
      <c r="C29" s="3" t="s">
        <v>106</v>
      </c>
      <c r="D29" s="3" t="s">
        <v>107</v>
      </c>
      <c r="E29" s="3" t="s">
        <v>108</v>
      </c>
      <c r="F29" s="2">
        <v>44165</v>
      </c>
      <c r="G29" s="2">
        <v>44348</v>
      </c>
      <c r="H29" s="38" t="s">
        <v>16</v>
      </c>
      <c r="I29" s="3" t="s">
        <v>20</v>
      </c>
      <c r="J29" s="3" t="s">
        <v>32</v>
      </c>
      <c r="K29" s="3"/>
    </row>
    <row r="30" spans="1:11" ht="86.4" x14ac:dyDescent="0.3">
      <c r="A30" s="3" t="s">
        <v>109</v>
      </c>
      <c r="B30" s="3" t="str">
        <f>"047811017"</f>
        <v>047811017</v>
      </c>
      <c r="C30" s="3" t="s">
        <v>110</v>
      </c>
      <c r="D30" s="3" t="s">
        <v>111</v>
      </c>
      <c r="E30" s="3" t="s">
        <v>112</v>
      </c>
      <c r="F30" s="2">
        <v>44135</v>
      </c>
      <c r="G30" s="2">
        <v>44180</v>
      </c>
      <c r="H30" s="39" t="s">
        <v>16</v>
      </c>
      <c r="I30" s="3" t="s">
        <v>20</v>
      </c>
      <c r="J30" s="3" t="s">
        <v>32</v>
      </c>
      <c r="K30" s="3"/>
    </row>
    <row r="31" spans="1:11" ht="115.2" x14ac:dyDescent="0.3">
      <c r="A31" s="3" t="s">
        <v>113</v>
      </c>
      <c r="B31" s="3" t="str">
        <f>"022395026"</f>
        <v>022395026</v>
      </c>
      <c r="C31" s="3" t="s">
        <v>114</v>
      </c>
      <c r="D31" s="3" t="s">
        <v>115</v>
      </c>
      <c r="E31" s="3" t="s">
        <v>116</v>
      </c>
      <c r="F31" s="2">
        <v>43609</v>
      </c>
      <c r="G31" s="2"/>
      <c r="H31" s="40" t="s">
        <v>16</v>
      </c>
      <c r="I31" s="3" t="s">
        <v>17</v>
      </c>
      <c r="J31" s="3" t="s">
        <v>32</v>
      </c>
      <c r="K31" s="3" t="s">
        <v>117</v>
      </c>
    </row>
    <row r="32" spans="1:11" ht="86.4" x14ac:dyDescent="0.3">
      <c r="A32" s="3" t="s">
        <v>118</v>
      </c>
      <c r="B32" s="3" t="str">
        <f>"042021042"</f>
        <v>042021042</v>
      </c>
      <c r="C32" s="3" t="s">
        <v>119</v>
      </c>
      <c r="D32" s="3" t="s">
        <v>120</v>
      </c>
      <c r="E32" s="3" t="s">
        <v>121</v>
      </c>
      <c r="F32" s="2">
        <v>44043</v>
      </c>
      <c r="G32" s="2"/>
      <c r="H32" s="41" t="s">
        <v>16</v>
      </c>
      <c r="I32" s="3" t="s">
        <v>122</v>
      </c>
      <c r="J32" s="3" t="s">
        <v>18</v>
      </c>
      <c r="K32" s="3"/>
    </row>
    <row r="33" spans="1:11" ht="216" x14ac:dyDescent="0.3">
      <c r="A33" s="3" t="s">
        <v>123</v>
      </c>
      <c r="B33" s="3" t="str">
        <f>"021502012"</f>
        <v>021502012</v>
      </c>
      <c r="C33" s="3" t="s">
        <v>124</v>
      </c>
      <c r="D33" s="3" t="s">
        <v>125</v>
      </c>
      <c r="E33" s="3" t="s">
        <v>46</v>
      </c>
      <c r="F33" s="2">
        <v>43567</v>
      </c>
      <c r="G33" s="2"/>
      <c r="H33" s="42" t="s">
        <v>16</v>
      </c>
      <c r="I33" s="43" t="s">
        <v>31</v>
      </c>
      <c r="J33" s="3" t="s">
        <v>51</v>
      </c>
      <c r="K33" s="3" t="s">
        <v>126</v>
      </c>
    </row>
    <row r="34" spans="1:11" ht="100.8" x14ac:dyDescent="0.3">
      <c r="A34" s="3" t="s">
        <v>123</v>
      </c>
      <c r="B34" s="3" t="str">
        <f>"021502024"</f>
        <v>021502024</v>
      </c>
      <c r="C34" s="3" t="s">
        <v>124</v>
      </c>
      <c r="D34" s="3" t="s">
        <v>127</v>
      </c>
      <c r="E34" s="3" t="s">
        <v>46</v>
      </c>
      <c r="F34" s="2">
        <v>43567</v>
      </c>
      <c r="G34" s="2"/>
      <c r="H34" s="44" t="s">
        <v>16</v>
      </c>
      <c r="I34" s="45" t="s">
        <v>31</v>
      </c>
      <c r="J34" s="3" t="s">
        <v>32</v>
      </c>
      <c r="K34" s="3" t="s">
        <v>128</v>
      </c>
    </row>
    <row r="35" spans="1:11" ht="57.6" x14ac:dyDescent="0.3">
      <c r="A35" s="3" t="s">
        <v>129</v>
      </c>
      <c r="B35" s="3" t="str">
        <f>"021539046"</f>
        <v>021539046</v>
      </c>
      <c r="C35" s="3" t="s">
        <v>130</v>
      </c>
      <c r="D35" s="3" t="s">
        <v>131</v>
      </c>
      <c r="E35" s="3" t="s">
        <v>132</v>
      </c>
      <c r="F35" s="2">
        <v>43404</v>
      </c>
      <c r="G35" s="2"/>
      <c r="H35" s="46" t="s">
        <v>16</v>
      </c>
      <c r="I35" s="3" t="s">
        <v>20</v>
      </c>
      <c r="J35" s="3" t="s">
        <v>32</v>
      </c>
      <c r="K35" s="3"/>
    </row>
    <row r="36" spans="1:11" ht="57.6" x14ac:dyDescent="0.3">
      <c r="A36" s="3" t="s">
        <v>129</v>
      </c>
      <c r="B36" s="3" t="str">
        <f>"021539059"</f>
        <v>021539059</v>
      </c>
      <c r="C36" s="3" t="s">
        <v>130</v>
      </c>
      <c r="D36" s="3" t="s">
        <v>133</v>
      </c>
      <c r="E36" s="3" t="s">
        <v>132</v>
      </c>
      <c r="F36" s="2">
        <v>43799</v>
      </c>
      <c r="G36" s="2"/>
      <c r="H36" s="47" t="s">
        <v>16</v>
      </c>
      <c r="I36" s="3" t="s">
        <v>20</v>
      </c>
      <c r="J36" s="3" t="s">
        <v>32</v>
      </c>
      <c r="K36" s="3"/>
    </row>
    <row r="37" spans="1:11" ht="72" x14ac:dyDescent="0.3">
      <c r="A37" s="3" t="s">
        <v>134</v>
      </c>
      <c r="B37" s="3" t="str">
        <f>"028900013"</f>
        <v>028900013</v>
      </c>
      <c r="C37" s="3" t="s">
        <v>135</v>
      </c>
      <c r="D37" s="3" t="s">
        <v>136</v>
      </c>
      <c r="E37" s="3" t="s">
        <v>137</v>
      </c>
      <c r="F37" s="2">
        <v>42163</v>
      </c>
      <c r="G37" s="2"/>
      <c r="H37" s="48" t="s">
        <v>26</v>
      </c>
      <c r="I37" s="3" t="s">
        <v>20</v>
      </c>
      <c r="J37" s="3" t="s">
        <v>32</v>
      </c>
      <c r="K37" s="3"/>
    </row>
    <row r="38" spans="1:11" ht="57.6" x14ac:dyDescent="0.3">
      <c r="A38" s="3" t="s">
        <v>138</v>
      </c>
      <c r="B38" s="3" t="str">
        <f>"043234069"</f>
        <v>043234069</v>
      </c>
      <c r="C38" s="3" t="s">
        <v>139</v>
      </c>
      <c r="D38" s="3" t="s">
        <v>140</v>
      </c>
      <c r="E38" s="3" t="s">
        <v>37</v>
      </c>
      <c r="F38" s="2">
        <v>43914</v>
      </c>
      <c r="G38" s="2">
        <v>44196</v>
      </c>
      <c r="H38" s="49" t="s">
        <v>26</v>
      </c>
      <c r="I38" s="3" t="s">
        <v>20</v>
      </c>
      <c r="J38" s="3" t="s">
        <v>32</v>
      </c>
      <c r="K38" s="3"/>
    </row>
    <row r="39" spans="1:11" ht="57.6" x14ac:dyDescent="0.3">
      <c r="A39" s="3" t="s">
        <v>138</v>
      </c>
      <c r="B39" s="3" t="str">
        <f>"043234107"</f>
        <v>043234107</v>
      </c>
      <c r="C39" s="3" t="s">
        <v>139</v>
      </c>
      <c r="D39" s="3" t="s">
        <v>141</v>
      </c>
      <c r="E39" s="3" t="s">
        <v>37</v>
      </c>
      <c r="F39" s="2">
        <v>43914</v>
      </c>
      <c r="G39" s="2">
        <v>44196</v>
      </c>
      <c r="H39" s="50" t="s">
        <v>26</v>
      </c>
      <c r="I39" s="3" t="s">
        <v>20</v>
      </c>
      <c r="J39" s="3" t="s">
        <v>32</v>
      </c>
      <c r="K39" s="3"/>
    </row>
    <row r="40" spans="1:11" ht="57.6" x14ac:dyDescent="0.3">
      <c r="A40" s="3" t="s">
        <v>142</v>
      </c>
      <c r="B40" s="3" t="str">
        <f>"026890172"</f>
        <v>026890172</v>
      </c>
      <c r="C40" s="3" t="s">
        <v>143</v>
      </c>
      <c r="D40" s="3" t="s">
        <v>144</v>
      </c>
      <c r="E40" s="3" t="s">
        <v>145</v>
      </c>
      <c r="F40" s="2">
        <v>43921</v>
      </c>
      <c r="G40" s="2">
        <v>43962</v>
      </c>
      <c r="H40" s="51" t="s">
        <v>16</v>
      </c>
      <c r="I40" s="3" t="s">
        <v>20</v>
      </c>
      <c r="J40" s="3" t="s">
        <v>32</v>
      </c>
      <c r="K40" s="3"/>
    </row>
    <row r="41" spans="1:11" ht="57.6" x14ac:dyDescent="0.3">
      <c r="A41" s="3" t="s">
        <v>146</v>
      </c>
      <c r="B41" s="3" t="str">
        <f>"008366015"</f>
        <v>008366015</v>
      </c>
      <c r="C41" s="3" t="s">
        <v>147</v>
      </c>
      <c r="D41" s="3" t="s">
        <v>148</v>
      </c>
      <c r="E41" s="3" t="s">
        <v>149</v>
      </c>
      <c r="F41" s="2">
        <v>43574</v>
      </c>
      <c r="G41" s="2"/>
      <c r="H41" s="52" t="s">
        <v>16</v>
      </c>
      <c r="I41" s="53" t="s">
        <v>31</v>
      </c>
      <c r="J41" s="3" t="s">
        <v>32</v>
      </c>
      <c r="K41" s="3"/>
    </row>
    <row r="42" spans="1:11" ht="100.8" x14ac:dyDescent="0.3">
      <c r="A42" s="3" t="s">
        <v>150</v>
      </c>
      <c r="B42" s="3" t="str">
        <f>"034231035"</f>
        <v>034231035</v>
      </c>
      <c r="C42" s="3" t="s">
        <v>151</v>
      </c>
      <c r="D42" s="3" t="s">
        <v>152</v>
      </c>
      <c r="E42" s="3" t="s">
        <v>153</v>
      </c>
      <c r="F42" s="2">
        <v>43915</v>
      </c>
      <c r="G42" s="2">
        <v>44286</v>
      </c>
      <c r="H42" s="54" t="s">
        <v>16</v>
      </c>
      <c r="I42" s="3" t="s">
        <v>20</v>
      </c>
      <c r="J42" s="3" t="s">
        <v>51</v>
      </c>
      <c r="K42" s="3" t="s">
        <v>154</v>
      </c>
    </row>
    <row r="43" spans="1:11" ht="57.6" x14ac:dyDescent="0.3">
      <c r="A43" s="3" t="s">
        <v>155</v>
      </c>
      <c r="B43" s="3" t="str">
        <f>"029018049"</f>
        <v>029018049</v>
      </c>
      <c r="C43" s="3" t="s">
        <v>156</v>
      </c>
      <c r="D43" s="3" t="s">
        <v>157</v>
      </c>
      <c r="E43" s="3" t="s">
        <v>158</v>
      </c>
      <c r="F43" s="2">
        <v>44034</v>
      </c>
      <c r="G43" s="2">
        <v>44561</v>
      </c>
      <c r="H43" s="55" t="s">
        <v>16</v>
      </c>
      <c r="I43" s="3" t="s">
        <v>159</v>
      </c>
      <c r="J43" s="3" t="s">
        <v>32</v>
      </c>
      <c r="K43" s="3"/>
    </row>
    <row r="44" spans="1:11" ht="100.8" x14ac:dyDescent="0.3">
      <c r="A44" s="3" t="s">
        <v>160</v>
      </c>
      <c r="B44" s="3" t="str">
        <f>"044621035"</f>
        <v>044621035</v>
      </c>
      <c r="C44" s="3" t="s">
        <v>161</v>
      </c>
      <c r="D44" s="3" t="s">
        <v>162</v>
      </c>
      <c r="E44" s="3" t="s">
        <v>163</v>
      </c>
      <c r="F44" s="2">
        <v>43922</v>
      </c>
      <c r="G44" s="2"/>
      <c r="H44" s="56" t="s">
        <v>26</v>
      </c>
      <c r="I44" s="3" t="s">
        <v>42</v>
      </c>
      <c r="J44" s="3" t="s">
        <v>51</v>
      </c>
      <c r="K44" s="3" t="s">
        <v>154</v>
      </c>
    </row>
    <row r="45" spans="1:11" ht="57.6" x14ac:dyDescent="0.3">
      <c r="A45" s="3" t="s">
        <v>164</v>
      </c>
      <c r="B45" s="3" t="str">
        <f>"014729180"</f>
        <v>014729180</v>
      </c>
      <c r="C45" s="3" t="s">
        <v>165</v>
      </c>
      <c r="D45" s="3" t="s">
        <v>166</v>
      </c>
      <c r="E45" s="3" t="s">
        <v>167</v>
      </c>
      <c r="F45" s="2">
        <v>44144</v>
      </c>
      <c r="G45" s="2">
        <v>44180</v>
      </c>
      <c r="H45" s="57" t="s">
        <v>26</v>
      </c>
      <c r="I45" s="3" t="s">
        <v>42</v>
      </c>
      <c r="J45" s="3" t="s">
        <v>32</v>
      </c>
      <c r="K45" s="3"/>
    </row>
    <row r="46" spans="1:11" ht="57.6" x14ac:dyDescent="0.3">
      <c r="A46" s="3" t="s">
        <v>164</v>
      </c>
      <c r="B46" s="3" t="str">
        <f>"014729166"</f>
        <v>014729166</v>
      </c>
      <c r="C46" s="3" t="s">
        <v>165</v>
      </c>
      <c r="D46" s="3" t="s">
        <v>168</v>
      </c>
      <c r="E46" s="3" t="s">
        <v>167</v>
      </c>
      <c r="F46" s="2">
        <v>44137</v>
      </c>
      <c r="G46" s="2">
        <v>44180</v>
      </c>
      <c r="H46" s="58" t="s">
        <v>26</v>
      </c>
      <c r="I46" s="3" t="s">
        <v>42</v>
      </c>
      <c r="J46" s="3" t="s">
        <v>32</v>
      </c>
      <c r="K46" s="3"/>
    </row>
    <row r="47" spans="1:11" ht="57.6" x14ac:dyDescent="0.3">
      <c r="A47" s="3" t="s">
        <v>169</v>
      </c>
      <c r="B47" s="3" t="str">
        <f>"036593010"</f>
        <v>036593010</v>
      </c>
      <c r="C47" s="3" t="s">
        <v>170</v>
      </c>
      <c r="D47" s="3" t="s">
        <v>171</v>
      </c>
      <c r="E47" s="3" t="s">
        <v>172</v>
      </c>
      <c r="F47" s="2">
        <v>42901</v>
      </c>
      <c r="G47" s="2"/>
      <c r="H47" s="59" t="s">
        <v>16</v>
      </c>
      <c r="I47" s="3" t="s">
        <v>20</v>
      </c>
      <c r="J47" s="3" t="s">
        <v>32</v>
      </c>
      <c r="K47" s="3"/>
    </row>
    <row r="48" spans="1:11" ht="57.6" x14ac:dyDescent="0.3">
      <c r="A48" s="3" t="s">
        <v>173</v>
      </c>
      <c r="B48" s="3" t="str">
        <f>"011355070"</f>
        <v>011355070</v>
      </c>
      <c r="C48" s="3" t="s">
        <v>174</v>
      </c>
      <c r="D48" s="3" t="s">
        <v>175</v>
      </c>
      <c r="E48" s="3" t="s">
        <v>176</v>
      </c>
      <c r="F48" s="2">
        <v>44105</v>
      </c>
      <c r="G48" s="2"/>
      <c r="H48" s="60" t="s">
        <v>16</v>
      </c>
      <c r="I48" s="61" t="s">
        <v>31</v>
      </c>
      <c r="J48" s="3" t="s">
        <v>32</v>
      </c>
      <c r="K48" s="3"/>
    </row>
    <row r="49" spans="1:11" ht="57.6" x14ac:dyDescent="0.3">
      <c r="A49" s="3" t="s">
        <v>177</v>
      </c>
      <c r="B49" s="3" t="str">
        <f>"047531037"</f>
        <v>047531037</v>
      </c>
      <c r="C49" s="3" t="s">
        <v>178</v>
      </c>
      <c r="D49" s="3" t="s">
        <v>179</v>
      </c>
      <c r="E49" s="3" t="s">
        <v>180</v>
      </c>
      <c r="F49" s="2">
        <v>43935</v>
      </c>
      <c r="G49" s="2">
        <v>44196</v>
      </c>
      <c r="H49" s="62" t="s">
        <v>26</v>
      </c>
      <c r="I49" s="3" t="s">
        <v>42</v>
      </c>
      <c r="J49" s="3" t="s">
        <v>51</v>
      </c>
      <c r="K49" s="3"/>
    </row>
    <row r="50" spans="1:11" ht="86.4" x14ac:dyDescent="0.3">
      <c r="A50" s="3" t="s">
        <v>181</v>
      </c>
      <c r="B50" s="3" t="str">
        <f>"030153023"</f>
        <v>030153023</v>
      </c>
      <c r="C50" s="3" t="s">
        <v>182</v>
      </c>
      <c r="D50" s="3" t="s">
        <v>183</v>
      </c>
      <c r="E50" s="3" t="s">
        <v>184</v>
      </c>
      <c r="F50" s="2">
        <v>43221</v>
      </c>
      <c r="G50" s="2"/>
      <c r="H50" s="63" t="s">
        <v>26</v>
      </c>
      <c r="I50" s="64" t="s">
        <v>31</v>
      </c>
      <c r="J50" s="3" t="s">
        <v>18</v>
      </c>
      <c r="K50" s="3"/>
    </row>
    <row r="51" spans="1:11" ht="72" x14ac:dyDescent="0.3">
      <c r="A51" s="3" t="s">
        <v>185</v>
      </c>
      <c r="B51" s="3" t="str">
        <f>"027940030"</f>
        <v>027940030</v>
      </c>
      <c r="C51" s="3" t="s">
        <v>186</v>
      </c>
      <c r="D51" s="3" t="s">
        <v>187</v>
      </c>
      <c r="E51" s="3" t="s">
        <v>188</v>
      </c>
      <c r="F51" s="2">
        <v>43637</v>
      </c>
      <c r="G51" s="2"/>
      <c r="H51" s="65" t="s">
        <v>26</v>
      </c>
      <c r="I51" s="3" t="s">
        <v>20</v>
      </c>
      <c r="J51" s="3" t="s">
        <v>32</v>
      </c>
      <c r="K51" s="3"/>
    </row>
    <row r="52" spans="1:11" ht="57.6" x14ac:dyDescent="0.3">
      <c r="A52" s="3" t="s">
        <v>185</v>
      </c>
      <c r="B52" s="3" t="str">
        <f>"027940042"</f>
        <v>027940042</v>
      </c>
      <c r="C52" s="3" t="s">
        <v>186</v>
      </c>
      <c r="D52" s="3" t="s">
        <v>189</v>
      </c>
      <c r="E52" s="3" t="s">
        <v>188</v>
      </c>
      <c r="F52" s="2">
        <v>43713</v>
      </c>
      <c r="G52" s="2"/>
      <c r="H52" s="66" t="s">
        <v>26</v>
      </c>
      <c r="I52" s="3" t="s">
        <v>20</v>
      </c>
      <c r="J52" s="3" t="s">
        <v>32</v>
      </c>
      <c r="K52" s="3"/>
    </row>
    <row r="53" spans="1:11" ht="43.2" x14ac:dyDescent="0.3">
      <c r="A53" s="3" t="s">
        <v>190</v>
      </c>
      <c r="B53" s="3" t="str">
        <f>"026114052"</f>
        <v>026114052</v>
      </c>
      <c r="C53" s="3" t="s">
        <v>191</v>
      </c>
      <c r="D53" s="3" t="s">
        <v>192</v>
      </c>
      <c r="E53" s="3" t="s">
        <v>55</v>
      </c>
      <c r="F53" s="2">
        <v>43945</v>
      </c>
      <c r="G53" s="2"/>
      <c r="H53" s="67" t="s">
        <v>26</v>
      </c>
      <c r="I53" s="3" t="s">
        <v>42</v>
      </c>
      <c r="J53" s="3" t="s">
        <v>51</v>
      </c>
      <c r="K53" s="3"/>
    </row>
    <row r="54" spans="1:11" ht="57.6" x14ac:dyDescent="0.3">
      <c r="A54" s="3" t="s">
        <v>193</v>
      </c>
      <c r="B54" s="3" t="str">
        <f>"013013026"</f>
        <v>013013026</v>
      </c>
      <c r="C54" s="3" t="s">
        <v>194</v>
      </c>
      <c r="D54" s="3" t="s">
        <v>195</v>
      </c>
      <c r="E54" s="3" t="s">
        <v>196</v>
      </c>
      <c r="F54" s="2">
        <v>41698</v>
      </c>
      <c r="G54" s="2">
        <v>44256</v>
      </c>
      <c r="H54" s="68" t="s">
        <v>16</v>
      </c>
      <c r="I54" s="69" t="s">
        <v>73</v>
      </c>
      <c r="J54" s="3" t="s">
        <v>32</v>
      </c>
      <c r="K54" s="3"/>
    </row>
    <row r="55" spans="1:11" ht="72" x14ac:dyDescent="0.3">
      <c r="A55" s="3" t="s">
        <v>197</v>
      </c>
      <c r="B55" s="3" t="str">
        <f>"043792011"</f>
        <v>043792011</v>
      </c>
      <c r="C55" s="3" t="s">
        <v>198</v>
      </c>
      <c r="D55" s="3" t="s">
        <v>199</v>
      </c>
      <c r="E55" s="3" t="s">
        <v>200</v>
      </c>
      <c r="F55" s="2">
        <v>43970</v>
      </c>
      <c r="G55" s="2">
        <v>44255</v>
      </c>
      <c r="H55" s="70" t="s">
        <v>16</v>
      </c>
      <c r="I55" s="3" t="s">
        <v>20</v>
      </c>
      <c r="J55" s="3" t="s">
        <v>32</v>
      </c>
      <c r="K55" s="3"/>
    </row>
    <row r="56" spans="1:11" ht="57.6" x14ac:dyDescent="0.3">
      <c r="A56" s="3" t="s">
        <v>201</v>
      </c>
      <c r="B56" s="3" t="str">
        <f>"036561025"</f>
        <v>036561025</v>
      </c>
      <c r="C56" s="3" t="s">
        <v>202</v>
      </c>
      <c r="D56" s="3" t="s">
        <v>203</v>
      </c>
      <c r="E56" s="3" t="s">
        <v>204</v>
      </c>
      <c r="F56" s="2">
        <v>43738</v>
      </c>
      <c r="G56" s="2">
        <v>44043</v>
      </c>
      <c r="H56" s="71" t="s">
        <v>16</v>
      </c>
      <c r="I56" s="3" t="s">
        <v>20</v>
      </c>
      <c r="J56" s="3" t="s">
        <v>32</v>
      </c>
      <c r="K56" s="3"/>
    </row>
    <row r="57" spans="1:11" ht="57.6" x14ac:dyDescent="0.3">
      <c r="A57" s="3" t="s">
        <v>205</v>
      </c>
      <c r="B57" s="3" t="str">
        <f>"037073020"</f>
        <v>037073020</v>
      </c>
      <c r="C57" s="3" t="s">
        <v>206</v>
      </c>
      <c r="D57" s="3" t="s">
        <v>207</v>
      </c>
      <c r="E57" s="3" t="s">
        <v>208</v>
      </c>
      <c r="F57" s="2">
        <v>43913</v>
      </c>
      <c r="G57" s="2">
        <v>43981</v>
      </c>
      <c r="H57" s="72" t="s">
        <v>16</v>
      </c>
      <c r="I57" s="3" t="s">
        <v>42</v>
      </c>
      <c r="J57" s="3" t="s">
        <v>51</v>
      </c>
      <c r="K57" s="3"/>
    </row>
    <row r="58" spans="1:11" ht="57.6" x14ac:dyDescent="0.3">
      <c r="A58" s="3" t="s">
        <v>209</v>
      </c>
      <c r="B58" s="3" t="str">
        <f>"043738032"</f>
        <v>043738032</v>
      </c>
      <c r="C58" s="3" t="s">
        <v>210</v>
      </c>
      <c r="D58" s="3" t="s">
        <v>211</v>
      </c>
      <c r="E58" s="3" t="s">
        <v>212</v>
      </c>
      <c r="F58" s="2">
        <v>43809</v>
      </c>
      <c r="G58" s="2">
        <v>43921</v>
      </c>
      <c r="H58" s="73" t="s">
        <v>16</v>
      </c>
      <c r="I58" s="3" t="s">
        <v>213</v>
      </c>
      <c r="J58" s="3" t="s">
        <v>51</v>
      </c>
      <c r="K58" s="3"/>
    </row>
    <row r="59" spans="1:11" ht="100.8" x14ac:dyDescent="0.3">
      <c r="A59" s="3" t="s">
        <v>214</v>
      </c>
      <c r="B59" s="3" t="str">
        <f>"036167118"</f>
        <v>036167118</v>
      </c>
      <c r="C59" s="3"/>
      <c r="D59" s="3" t="s">
        <v>215</v>
      </c>
      <c r="E59" s="3" t="s">
        <v>216</v>
      </c>
      <c r="F59" s="2">
        <v>44180</v>
      </c>
      <c r="G59" s="2"/>
      <c r="H59" s="74" t="s">
        <v>16</v>
      </c>
      <c r="I59" s="75" t="s">
        <v>31</v>
      </c>
      <c r="J59" s="3" t="s">
        <v>32</v>
      </c>
      <c r="K59" s="3"/>
    </row>
    <row r="60" spans="1:11" ht="57.6" x14ac:dyDescent="0.3">
      <c r="A60" s="3" t="s">
        <v>217</v>
      </c>
      <c r="B60" s="3" t="str">
        <f>"027665013"</f>
        <v>027665013</v>
      </c>
      <c r="C60" s="3" t="s">
        <v>218</v>
      </c>
      <c r="D60" s="3" t="s">
        <v>219</v>
      </c>
      <c r="E60" s="3" t="s">
        <v>220</v>
      </c>
      <c r="F60" s="2">
        <v>44013</v>
      </c>
      <c r="G60" s="2">
        <v>44562</v>
      </c>
      <c r="H60" s="76" t="s">
        <v>16</v>
      </c>
      <c r="I60" s="3" t="s">
        <v>20</v>
      </c>
      <c r="J60" s="3" t="s">
        <v>32</v>
      </c>
      <c r="K60" s="3"/>
    </row>
    <row r="61" spans="1:11" ht="57.6" x14ac:dyDescent="0.3">
      <c r="A61" s="3" t="s">
        <v>217</v>
      </c>
      <c r="B61" s="3" t="str">
        <f>"027665025"</f>
        <v>027665025</v>
      </c>
      <c r="C61" s="3" t="s">
        <v>218</v>
      </c>
      <c r="D61" s="3" t="s">
        <v>221</v>
      </c>
      <c r="E61" s="3" t="s">
        <v>220</v>
      </c>
      <c r="F61" s="2">
        <v>43922</v>
      </c>
      <c r="G61" s="2">
        <v>44470</v>
      </c>
      <c r="H61" s="77" t="s">
        <v>16</v>
      </c>
      <c r="I61" s="3" t="s">
        <v>20</v>
      </c>
      <c r="J61" s="3" t="s">
        <v>32</v>
      </c>
      <c r="K61" s="3"/>
    </row>
    <row r="62" spans="1:11" ht="72" x14ac:dyDescent="0.3">
      <c r="A62" s="3" t="s">
        <v>222</v>
      </c>
      <c r="B62" s="3" t="str">
        <f>"027066099"</f>
        <v>027066099</v>
      </c>
      <c r="C62" s="3" t="s">
        <v>223</v>
      </c>
      <c r="D62" s="3" t="s">
        <v>224</v>
      </c>
      <c r="E62" s="3" t="s">
        <v>225</v>
      </c>
      <c r="F62" s="2">
        <v>43739</v>
      </c>
      <c r="G62" s="2"/>
      <c r="H62" s="78" t="s">
        <v>16</v>
      </c>
      <c r="I62" s="79" t="s">
        <v>31</v>
      </c>
      <c r="J62" s="3" t="s">
        <v>32</v>
      </c>
      <c r="K62" s="3"/>
    </row>
    <row r="63" spans="1:11" ht="57.6" x14ac:dyDescent="0.3">
      <c r="A63" s="3" t="s">
        <v>226</v>
      </c>
      <c r="B63" s="3" t="str">
        <f>"026653079"</f>
        <v>026653079</v>
      </c>
      <c r="C63" s="3" t="s">
        <v>227</v>
      </c>
      <c r="D63" s="3" t="s">
        <v>228</v>
      </c>
      <c r="E63" s="3" t="s">
        <v>229</v>
      </c>
      <c r="F63" s="2">
        <v>44075</v>
      </c>
      <c r="G63" s="2">
        <v>44196</v>
      </c>
      <c r="H63" s="80" t="s">
        <v>16</v>
      </c>
      <c r="I63" s="3" t="s">
        <v>42</v>
      </c>
      <c r="J63" s="3" t="s">
        <v>32</v>
      </c>
      <c r="K63" s="3"/>
    </row>
    <row r="64" spans="1:11" ht="57.6" x14ac:dyDescent="0.3">
      <c r="A64" s="3" t="s">
        <v>226</v>
      </c>
      <c r="B64" s="3" t="str">
        <f>"026653042"</f>
        <v>026653042</v>
      </c>
      <c r="C64" s="3" t="s">
        <v>227</v>
      </c>
      <c r="D64" s="3" t="s">
        <v>230</v>
      </c>
      <c r="E64" s="3" t="s">
        <v>229</v>
      </c>
      <c r="F64" s="2">
        <v>42927</v>
      </c>
      <c r="G64" s="2"/>
      <c r="H64" s="81" t="s">
        <v>26</v>
      </c>
      <c r="I64" s="82" t="s">
        <v>31</v>
      </c>
      <c r="J64" s="3" t="s">
        <v>32</v>
      </c>
      <c r="K64" s="3"/>
    </row>
    <row r="65" spans="1:11" ht="57.6" x14ac:dyDescent="0.3">
      <c r="A65" s="3" t="s">
        <v>231</v>
      </c>
      <c r="B65" s="3" t="str">
        <f>"019350026"</f>
        <v>019350026</v>
      </c>
      <c r="C65" s="3" t="s">
        <v>232</v>
      </c>
      <c r="D65" s="3" t="s">
        <v>233</v>
      </c>
      <c r="E65" s="3" t="s">
        <v>234</v>
      </c>
      <c r="F65" s="2">
        <v>43617</v>
      </c>
      <c r="G65" s="2">
        <v>43861</v>
      </c>
      <c r="H65" s="83" t="s">
        <v>16</v>
      </c>
      <c r="I65" s="3" t="s">
        <v>20</v>
      </c>
      <c r="J65" s="3" t="s">
        <v>32</v>
      </c>
      <c r="K65" s="3"/>
    </row>
    <row r="66" spans="1:11" ht="43.2" x14ac:dyDescent="0.3">
      <c r="A66" s="3" t="s">
        <v>235</v>
      </c>
      <c r="B66" s="3" t="str">
        <f>"039244037"</f>
        <v>039244037</v>
      </c>
      <c r="C66" s="3" t="s">
        <v>236</v>
      </c>
      <c r="D66" s="3" t="s">
        <v>237</v>
      </c>
      <c r="E66" s="3" t="s">
        <v>37</v>
      </c>
      <c r="F66" s="2">
        <v>43797</v>
      </c>
      <c r="G66" s="2">
        <v>44196</v>
      </c>
      <c r="H66" s="84" t="s">
        <v>26</v>
      </c>
      <c r="I66" s="3" t="s">
        <v>20</v>
      </c>
      <c r="J66" s="3" t="s">
        <v>51</v>
      </c>
      <c r="K66" s="3"/>
    </row>
    <row r="67" spans="1:11" ht="86.4" x14ac:dyDescent="0.3">
      <c r="A67" s="3" t="s">
        <v>238</v>
      </c>
      <c r="B67" s="3" t="str">
        <f>"041889041"</f>
        <v>041889041</v>
      </c>
      <c r="C67" s="3" t="s">
        <v>239</v>
      </c>
      <c r="D67" s="3" t="s">
        <v>240</v>
      </c>
      <c r="E67" s="3" t="s">
        <v>241</v>
      </c>
      <c r="F67" s="2">
        <v>44001</v>
      </c>
      <c r="G67" s="2">
        <v>44165</v>
      </c>
      <c r="H67" s="85" t="s">
        <v>16</v>
      </c>
      <c r="I67" s="3" t="s">
        <v>20</v>
      </c>
      <c r="J67" s="3" t="s">
        <v>18</v>
      </c>
      <c r="K67" s="3"/>
    </row>
    <row r="68" spans="1:11" ht="57.6" x14ac:dyDescent="0.3">
      <c r="A68" s="3" t="s">
        <v>242</v>
      </c>
      <c r="B68" s="3" t="str">
        <f>"008783110"</f>
        <v>008783110</v>
      </c>
      <c r="C68" s="3" t="s">
        <v>243</v>
      </c>
      <c r="D68" s="3" t="s">
        <v>244</v>
      </c>
      <c r="E68" s="3" t="s">
        <v>245</v>
      </c>
      <c r="F68" s="2">
        <v>43474</v>
      </c>
      <c r="G68" s="2"/>
      <c r="H68" s="86" t="s">
        <v>26</v>
      </c>
      <c r="I68" s="87" t="s">
        <v>246</v>
      </c>
      <c r="J68" s="3" t="s">
        <v>32</v>
      </c>
      <c r="K68" s="3"/>
    </row>
    <row r="69" spans="1:11" ht="57.6" x14ac:dyDescent="0.3">
      <c r="A69" s="3" t="s">
        <v>242</v>
      </c>
      <c r="B69" s="3" t="str">
        <f>"008783134"</f>
        <v>008783134</v>
      </c>
      <c r="C69" s="3" t="s">
        <v>243</v>
      </c>
      <c r="D69" s="3" t="s">
        <v>247</v>
      </c>
      <c r="E69" s="3" t="s">
        <v>245</v>
      </c>
      <c r="F69" s="2">
        <v>43474</v>
      </c>
      <c r="G69" s="2"/>
      <c r="H69" s="88" t="s">
        <v>26</v>
      </c>
      <c r="I69" s="89" t="s">
        <v>246</v>
      </c>
      <c r="J69" s="3" t="s">
        <v>32</v>
      </c>
      <c r="K69" s="3"/>
    </row>
    <row r="70" spans="1:11" ht="57.6" x14ac:dyDescent="0.3">
      <c r="A70" s="3" t="s">
        <v>242</v>
      </c>
      <c r="B70" s="3" t="str">
        <f>"008783146"</f>
        <v>008783146</v>
      </c>
      <c r="C70" s="3" t="s">
        <v>243</v>
      </c>
      <c r="D70" s="3" t="s">
        <v>248</v>
      </c>
      <c r="E70" s="3" t="s">
        <v>245</v>
      </c>
      <c r="F70" s="2">
        <v>43474</v>
      </c>
      <c r="G70" s="2"/>
      <c r="H70" s="90" t="s">
        <v>26</v>
      </c>
      <c r="I70" s="91" t="s">
        <v>246</v>
      </c>
      <c r="J70" s="3" t="s">
        <v>32</v>
      </c>
      <c r="K70" s="3"/>
    </row>
    <row r="71" spans="1:11" ht="57.6" x14ac:dyDescent="0.3">
      <c r="A71" s="3" t="s">
        <v>242</v>
      </c>
      <c r="B71" s="3" t="str">
        <f>"008783159"</f>
        <v>008783159</v>
      </c>
      <c r="C71" s="3" t="s">
        <v>243</v>
      </c>
      <c r="D71" s="3" t="s">
        <v>249</v>
      </c>
      <c r="E71" s="3" t="s">
        <v>245</v>
      </c>
      <c r="F71" s="2">
        <v>43474</v>
      </c>
      <c r="G71" s="2"/>
      <c r="H71" s="92" t="s">
        <v>26</v>
      </c>
      <c r="I71" s="93" t="s">
        <v>246</v>
      </c>
      <c r="J71" s="3" t="s">
        <v>32</v>
      </c>
      <c r="K71" s="3"/>
    </row>
    <row r="72" spans="1:11" ht="57.6" x14ac:dyDescent="0.3">
      <c r="A72" s="3" t="s">
        <v>250</v>
      </c>
      <c r="B72" s="3" t="str">
        <f>"036913010"</f>
        <v>036913010</v>
      </c>
      <c r="C72" s="3" t="s">
        <v>251</v>
      </c>
      <c r="D72" s="3" t="s">
        <v>252</v>
      </c>
      <c r="E72" s="3" t="s">
        <v>253</v>
      </c>
      <c r="F72" s="2">
        <v>43040</v>
      </c>
      <c r="G72" s="2"/>
      <c r="H72" s="94" t="s">
        <v>16</v>
      </c>
      <c r="I72" s="3" t="s">
        <v>20</v>
      </c>
      <c r="J72" s="3" t="s">
        <v>32</v>
      </c>
      <c r="K72" s="3"/>
    </row>
    <row r="73" spans="1:11" ht="57.6" x14ac:dyDescent="0.3">
      <c r="A73" s="3" t="s">
        <v>254</v>
      </c>
      <c r="B73" s="3" t="str">
        <f>"029209044"</f>
        <v>029209044</v>
      </c>
      <c r="C73" s="3" t="s">
        <v>255</v>
      </c>
      <c r="D73" s="3" t="s">
        <v>256</v>
      </c>
      <c r="E73" s="3" t="s">
        <v>82</v>
      </c>
      <c r="F73" s="2">
        <v>44140</v>
      </c>
      <c r="G73" s="2">
        <v>44165</v>
      </c>
      <c r="H73" s="95" t="s">
        <v>26</v>
      </c>
      <c r="I73" s="3" t="s">
        <v>42</v>
      </c>
      <c r="J73" s="3" t="s">
        <v>32</v>
      </c>
      <c r="K73" s="3"/>
    </row>
    <row r="74" spans="1:11" ht="57.6" x14ac:dyDescent="0.3">
      <c r="A74" s="3" t="s">
        <v>257</v>
      </c>
      <c r="B74" s="3" t="str">
        <f>"034209039"</f>
        <v>034209039</v>
      </c>
      <c r="C74" s="3" t="s">
        <v>258</v>
      </c>
      <c r="D74" s="3" t="s">
        <v>259</v>
      </c>
      <c r="E74" s="3" t="s">
        <v>260</v>
      </c>
      <c r="F74" s="2">
        <v>43609</v>
      </c>
      <c r="G74" s="2"/>
      <c r="H74" s="96" t="s">
        <v>16</v>
      </c>
      <c r="I74" s="97" t="s">
        <v>31</v>
      </c>
      <c r="J74" s="3" t="s">
        <v>32</v>
      </c>
      <c r="K74" s="3"/>
    </row>
    <row r="75" spans="1:11" ht="57.6" x14ac:dyDescent="0.3">
      <c r="A75" s="3" t="s">
        <v>261</v>
      </c>
      <c r="B75" s="3" t="str">
        <f>"028062038"</f>
        <v>028062038</v>
      </c>
      <c r="C75" s="3" t="s">
        <v>262</v>
      </c>
      <c r="D75" s="3" t="s">
        <v>263</v>
      </c>
      <c r="E75" s="3" t="s">
        <v>264</v>
      </c>
      <c r="F75" s="2">
        <v>43952</v>
      </c>
      <c r="G75" s="2"/>
      <c r="H75" s="98" t="s">
        <v>16</v>
      </c>
      <c r="I75" s="99" t="s">
        <v>31</v>
      </c>
      <c r="J75" s="3" t="s">
        <v>32</v>
      </c>
      <c r="K75" s="3"/>
    </row>
    <row r="76" spans="1:11" ht="57.6" x14ac:dyDescent="0.3">
      <c r="A76" s="3" t="s">
        <v>265</v>
      </c>
      <c r="B76" s="3" t="str">
        <f>"030725016"</f>
        <v>030725016</v>
      </c>
      <c r="C76" s="3" t="s">
        <v>266</v>
      </c>
      <c r="D76" s="3" t="s">
        <v>267</v>
      </c>
      <c r="E76" s="3" t="s">
        <v>268</v>
      </c>
      <c r="F76" s="2">
        <v>43768</v>
      </c>
      <c r="G76" s="2"/>
      <c r="H76" s="100" t="s">
        <v>16</v>
      </c>
      <c r="I76" s="3" t="s">
        <v>20</v>
      </c>
      <c r="J76" s="3" t="s">
        <v>32</v>
      </c>
      <c r="K76" s="3"/>
    </row>
    <row r="77" spans="1:11" ht="57.6" x14ac:dyDescent="0.3">
      <c r="A77" s="3" t="s">
        <v>269</v>
      </c>
      <c r="B77" s="3" t="str">
        <f>"026964015"</f>
        <v>026964015</v>
      </c>
      <c r="C77" s="3" t="s">
        <v>270</v>
      </c>
      <c r="D77" s="3" t="s">
        <v>271</v>
      </c>
      <c r="E77" s="3" t="s">
        <v>272</v>
      </c>
      <c r="F77" s="2">
        <v>42905</v>
      </c>
      <c r="G77" s="2"/>
      <c r="H77" s="101" t="s">
        <v>16</v>
      </c>
      <c r="I77" s="3" t="s">
        <v>20</v>
      </c>
      <c r="J77" s="3" t="s">
        <v>32</v>
      </c>
      <c r="K77" s="3"/>
    </row>
    <row r="78" spans="1:11" ht="57.6" x14ac:dyDescent="0.3">
      <c r="A78" s="3" t="s">
        <v>273</v>
      </c>
      <c r="B78" s="3" t="str">
        <f>"015148087"</f>
        <v>015148087</v>
      </c>
      <c r="C78" s="3" t="s">
        <v>274</v>
      </c>
      <c r="D78" s="3" t="s">
        <v>275</v>
      </c>
      <c r="E78" s="3" t="s">
        <v>77</v>
      </c>
      <c r="F78" s="2">
        <v>43404</v>
      </c>
      <c r="G78" s="2"/>
      <c r="H78" s="102" t="s">
        <v>16</v>
      </c>
      <c r="I78" s="103" t="s">
        <v>31</v>
      </c>
      <c r="J78" s="3" t="s">
        <v>32</v>
      </c>
      <c r="K78" s="3"/>
    </row>
    <row r="79" spans="1:11" ht="57.6" x14ac:dyDescent="0.3">
      <c r="A79" s="3" t="s">
        <v>273</v>
      </c>
      <c r="B79" s="3" t="str">
        <f>"015148137"</f>
        <v>015148137</v>
      </c>
      <c r="C79" s="3" t="s">
        <v>274</v>
      </c>
      <c r="D79" s="3" t="s">
        <v>276</v>
      </c>
      <c r="E79" s="3" t="s">
        <v>77</v>
      </c>
      <c r="F79" s="2">
        <v>43024</v>
      </c>
      <c r="G79" s="2"/>
      <c r="H79" s="104" t="s">
        <v>16</v>
      </c>
      <c r="I79" s="105" t="s">
        <v>31</v>
      </c>
      <c r="J79" s="3" t="s">
        <v>32</v>
      </c>
      <c r="K79" s="3"/>
    </row>
    <row r="80" spans="1:11" ht="57.6" x14ac:dyDescent="0.3">
      <c r="A80" s="3" t="s">
        <v>273</v>
      </c>
      <c r="B80" s="3" t="str">
        <f>"015148149"</f>
        <v>015148149</v>
      </c>
      <c r="C80" s="3" t="s">
        <v>274</v>
      </c>
      <c r="D80" s="3" t="s">
        <v>277</v>
      </c>
      <c r="E80" s="3" t="s">
        <v>77</v>
      </c>
      <c r="F80" s="2">
        <v>43146</v>
      </c>
      <c r="G80" s="2"/>
      <c r="H80" s="106" t="s">
        <v>16</v>
      </c>
      <c r="I80" s="107" t="s">
        <v>31</v>
      </c>
      <c r="J80" s="3" t="s">
        <v>32</v>
      </c>
      <c r="K80" s="3"/>
    </row>
    <row r="81" spans="1:11" ht="57.6" x14ac:dyDescent="0.3">
      <c r="A81" s="3" t="s">
        <v>278</v>
      </c>
      <c r="B81" s="3" t="str">
        <f>"033631019"</f>
        <v>033631019</v>
      </c>
      <c r="C81" s="3" t="s">
        <v>243</v>
      </c>
      <c r="D81" s="3" t="s">
        <v>279</v>
      </c>
      <c r="E81" s="3" t="s">
        <v>280</v>
      </c>
      <c r="F81" s="2">
        <v>43320</v>
      </c>
      <c r="G81" s="2"/>
      <c r="H81" s="108" t="s">
        <v>26</v>
      </c>
      <c r="I81" s="109" t="s">
        <v>73</v>
      </c>
      <c r="J81" s="3" t="s">
        <v>32</v>
      </c>
      <c r="K81" s="3"/>
    </row>
    <row r="82" spans="1:11" ht="57.6" x14ac:dyDescent="0.3">
      <c r="A82" s="3" t="s">
        <v>278</v>
      </c>
      <c r="B82" s="3" t="str">
        <f>"033631021"</f>
        <v>033631021</v>
      </c>
      <c r="C82" s="3" t="s">
        <v>243</v>
      </c>
      <c r="D82" s="3" t="s">
        <v>281</v>
      </c>
      <c r="E82" s="3" t="s">
        <v>280</v>
      </c>
      <c r="F82" s="2">
        <v>43320</v>
      </c>
      <c r="G82" s="2"/>
      <c r="H82" s="110" t="s">
        <v>26</v>
      </c>
      <c r="I82" s="111" t="s">
        <v>73</v>
      </c>
      <c r="J82" s="3" t="s">
        <v>32</v>
      </c>
      <c r="K82" s="3"/>
    </row>
    <row r="83" spans="1:11" ht="158.4" x14ac:dyDescent="0.3">
      <c r="A83" s="3" t="s">
        <v>282</v>
      </c>
      <c r="B83" s="3" t="str">
        <f>"035693035"</f>
        <v>035693035</v>
      </c>
      <c r="C83" s="3" t="s">
        <v>13</v>
      </c>
      <c r="D83" s="3" t="s">
        <v>283</v>
      </c>
      <c r="E83" s="3" t="s">
        <v>94</v>
      </c>
      <c r="F83" s="2">
        <v>43916</v>
      </c>
      <c r="G83" s="2">
        <v>44042</v>
      </c>
      <c r="H83" s="112" t="s">
        <v>26</v>
      </c>
      <c r="I83" s="3" t="s">
        <v>42</v>
      </c>
      <c r="J83" s="3" t="s">
        <v>51</v>
      </c>
      <c r="K83" s="3" t="s">
        <v>284</v>
      </c>
    </row>
    <row r="84" spans="1:11" ht="57.6" x14ac:dyDescent="0.3">
      <c r="A84" s="3" t="s">
        <v>285</v>
      </c>
      <c r="B84" s="3" t="str">
        <f>"033012016"</f>
        <v>033012016</v>
      </c>
      <c r="C84" s="3" t="s">
        <v>286</v>
      </c>
      <c r="D84" s="3" t="s">
        <v>287</v>
      </c>
      <c r="E84" s="3" t="s">
        <v>288</v>
      </c>
      <c r="F84" s="2">
        <v>44119</v>
      </c>
      <c r="G84" s="2"/>
      <c r="H84" s="113" t="s">
        <v>16</v>
      </c>
      <c r="I84" s="114" t="s">
        <v>73</v>
      </c>
      <c r="J84" s="3" t="s">
        <v>32</v>
      </c>
      <c r="K84" s="3"/>
    </row>
    <row r="85" spans="1:11" ht="172.8" x14ac:dyDescent="0.3">
      <c r="A85" s="3" t="s">
        <v>289</v>
      </c>
      <c r="B85" s="3" t="str">
        <f>"039232018"</f>
        <v>039232018</v>
      </c>
      <c r="C85" s="3" t="s">
        <v>290</v>
      </c>
      <c r="D85" s="3" t="s">
        <v>291</v>
      </c>
      <c r="E85" s="3" t="s">
        <v>292</v>
      </c>
      <c r="F85" s="2">
        <v>44044</v>
      </c>
      <c r="G85" s="2">
        <v>44196</v>
      </c>
      <c r="H85" s="115" t="s">
        <v>16</v>
      </c>
      <c r="I85" s="3" t="s">
        <v>20</v>
      </c>
      <c r="J85" s="3" t="s">
        <v>32</v>
      </c>
      <c r="K85" s="3"/>
    </row>
    <row r="86" spans="1:11" ht="172.8" x14ac:dyDescent="0.3">
      <c r="A86" s="3" t="s">
        <v>289</v>
      </c>
      <c r="B86" s="3" t="str">
        <f>"039232020"</f>
        <v>039232020</v>
      </c>
      <c r="C86" s="3" t="s">
        <v>290</v>
      </c>
      <c r="D86" s="3" t="s">
        <v>293</v>
      </c>
      <c r="E86" s="3" t="s">
        <v>292</v>
      </c>
      <c r="F86" s="2">
        <v>44089</v>
      </c>
      <c r="G86" s="2">
        <v>44196</v>
      </c>
      <c r="H86" s="116" t="s">
        <v>16</v>
      </c>
      <c r="I86" s="3" t="s">
        <v>20</v>
      </c>
      <c r="J86" s="3" t="s">
        <v>32</v>
      </c>
      <c r="K86" s="3"/>
    </row>
    <row r="87" spans="1:11" ht="115.2" x14ac:dyDescent="0.3">
      <c r="A87" s="3" t="s">
        <v>294</v>
      </c>
      <c r="B87" s="3" t="str">
        <f>"022620191"</f>
        <v>022620191</v>
      </c>
      <c r="C87" s="3" t="s">
        <v>295</v>
      </c>
      <c r="D87" s="3" t="s">
        <v>296</v>
      </c>
      <c r="E87" s="3" t="s">
        <v>116</v>
      </c>
      <c r="F87" s="2">
        <v>43817</v>
      </c>
      <c r="G87" s="2"/>
      <c r="H87" s="117" t="s">
        <v>16</v>
      </c>
      <c r="I87" s="3" t="s">
        <v>20</v>
      </c>
      <c r="J87" s="3" t="s">
        <v>28</v>
      </c>
      <c r="K87" s="3" t="s">
        <v>297</v>
      </c>
    </row>
    <row r="88" spans="1:11" ht="57.6" x14ac:dyDescent="0.3">
      <c r="A88" s="3" t="s">
        <v>298</v>
      </c>
      <c r="B88" s="3" t="str">
        <f>"031840034"</f>
        <v>031840034</v>
      </c>
      <c r="C88" s="3" t="s">
        <v>299</v>
      </c>
      <c r="D88" s="3" t="s">
        <v>300</v>
      </c>
      <c r="E88" s="3" t="s">
        <v>301</v>
      </c>
      <c r="F88" s="2">
        <v>44089</v>
      </c>
      <c r="G88" s="2">
        <v>44180</v>
      </c>
      <c r="H88" s="118" t="s">
        <v>16</v>
      </c>
      <c r="I88" s="3" t="s">
        <v>42</v>
      </c>
      <c r="J88" s="3" t="s">
        <v>32</v>
      </c>
      <c r="K88" s="3"/>
    </row>
    <row r="89" spans="1:11" ht="57.6" x14ac:dyDescent="0.3">
      <c r="A89" s="3" t="s">
        <v>298</v>
      </c>
      <c r="B89" s="3" t="str">
        <f>"031840046"</f>
        <v>031840046</v>
      </c>
      <c r="C89" s="3" t="s">
        <v>299</v>
      </c>
      <c r="D89" s="3" t="s">
        <v>302</v>
      </c>
      <c r="E89" s="3" t="s">
        <v>301</v>
      </c>
      <c r="F89" s="2">
        <v>44089</v>
      </c>
      <c r="G89" s="2">
        <v>44180</v>
      </c>
      <c r="H89" s="119" t="s">
        <v>16</v>
      </c>
      <c r="I89" s="3" t="s">
        <v>42</v>
      </c>
      <c r="J89" s="3" t="s">
        <v>32</v>
      </c>
      <c r="K89" s="3"/>
    </row>
    <row r="90" spans="1:11" ht="72" x14ac:dyDescent="0.3">
      <c r="A90" s="3" t="s">
        <v>303</v>
      </c>
      <c r="B90" s="3" t="str">
        <f>"047475025"</f>
        <v>047475025</v>
      </c>
      <c r="C90" s="3" t="s">
        <v>304</v>
      </c>
      <c r="D90" s="3" t="s">
        <v>305</v>
      </c>
      <c r="E90" s="3" t="s">
        <v>306</v>
      </c>
      <c r="F90" s="2">
        <v>44089</v>
      </c>
      <c r="G90" s="2">
        <v>44180</v>
      </c>
      <c r="H90" s="120" t="s">
        <v>16</v>
      </c>
      <c r="I90" s="3" t="s">
        <v>42</v>
      </c>
      <c r="J90" s="3" t="s">
        <v>32</v>
      </c>
      <c r="K90" s="3"/>
    </row>
    <row r="91" spans="1:11" ht="86.4" x14ac:dyDescent="0.3">
      <c r="A91" s="3" t="s">
        <v>303</v>
      </c>
      <c r="B91" s="3" t="str">
        <f>"047475037"</f>
        <v>047475037</v>
      </c>
      <c r="C91" s="3" t="s">
        <v>304</v>
      </c>
      <c r="D91" s="3" t="s">
        <v>307</v>
      </c>
      <c r="E91" s="3" t="s">
        <v>306</v>
      </c>
      <c r="F91" s="2">
        <v>44089</v>
      </c>
      <c r="G91" s="2">
        <v>44180</v>
      </c>
      <c r="H91" s="121" t="s">
        <v>16</v>
      </c>
      <c r="I91" s="3" t="s">
        <v>42</v>
      </c>
      <c r="J91" s="3" t="s">
        <v>32</v>
      </c>
      <c r="K91" s="3"/>
    </row>
    <row r="92" spans="1:11" ht="57.6" x14ac:dyDescent="0.3">
      <c r="A92" s="3" t="s">
        <v>308</v>
      </c>
      <c r="B92" s="3" t="str">
        <f>"043104013"</f>
        <v>043104013</v>
      </c>
      <c r="C92" s="3" t="s">
        <v>309</v>
      </c>
      <c r="D92" s="3" t="s">
        <v>310</v>
      </c>
      <c r="E92" s="3" t="s">
        <v>37</v>
      </c>
      <c r="F92" s="2">
        <v>44065</v>
      </c>
      <c r="G92" s="2">
        <v>44253</v>
      </c>
      <c r="H92" s="122" t="s">
        <v>26</v>
      </c>
      <c r="I92" s="3" t="s">
        <v>20</v>
      </c>
      <c r="J92" s="3" t="s">
        <v>32</v>
      </c>
      <c r="K92" s="3"/>
    </row>
    <row r="93" spans="1:11" ht="57.6" x14ac:dyDescent="0.3">
      <c r="A93" s="3" t="s">
        <v>311</v>
      </c>
      <c r="B93" s="3" t="str">
        <f>"042158028"</f>
        <v>042158028</v>
      </c>
      <c r="C93" s="3" t="s">
        <v>309</v>
      </c>
      <c r="D93" s="3" t="s">
        <v>312</v>
      </c>
      <c r="E93" s="3" t="s">
        <v>313</v>
      </c>
      <c r="F93" s="2">
        <v>43259</v>
      </c>
      <c r="G93" s="2"/>
      <c r="H93" s="123" t="s">
        <v>26</v>
      </c>
      <c r="I93" s="3" t="s">
        <v>20</v>
      </c>
      <c r="J93" s="3" t="s">
        <v>32</v>
      </c>
      <c r="K93" s="3"/>
    </row>
    <row r="94" spans="1:11" ht="86.4" x14ac:dyDescent="0.3">
      <c r="A94" s="3" t="s">
        <v>314</v>
      </c>
      <c r="B94" s="3" t="str">
        <f>"043149020"</f>
        <v>043149020</v>
      </c>
      <c r="C94" s="3" t="s">
        <v>315</v>
      </c>
      <c r="D94" s="3" t="s">
        <v>316</v>
      </c>
      <c r="E94" s="3" t="s">
        <v>317</v>
      </c>
      <c r="F94" s="2">
        <v>43951</v>
      </c>
      <c r="G94" s="2">
        <v>44042</v>
      </c>
      <c r="H94" s="124" t="s">
        <v>16</v>
      </c>
      <c r="I94" s="3" t="s">
        <v>20</v>
      </c>
      <c r="J94" s="3" t="s">
        <v>32</v>
      </c>
      <c r="K94" s="3"/>
    </row>
    <row r="95" spans="1:11" ht="57.6" x14ac:dyDescent="0.3">
      <c r="A95" s="3" t="s">
        <v>318</v>
      </c>
      <c r="B95" s="3" t="str">
        <f>"039457027"</f>
        <v>039457027</v>
      </c>
      <c r="C95" s="3" t="s">
        <v>319</v>
      </c>
      <c r="D95" s="3" t="s">
        <v>320</v>
      </c>
      <c r="E95" s="3" t="s">
        <v>321</v>
      </c>
      <c r="F95" s="2">
        <v>44197</v>
      </c>
      <c r="G95" s="2">
        <v>44561</v>
      </c>
      <c r="H95" s="125" t="s">
        <v>26</v>
      </c>
      <c r="I95" s="3" t="s">
        <v>20</v>
      </c>
      <c r="J95" s="3" t="s">
        <v>32</v>
      </c>
      <c r="K95" s="3"/>
    </row>
    <row r="96" spans="1:11" ht="57.6" x14ac:dyDescent="0.3">
      <c r="A96" s="3" t="s">
        <v>318</v>
      </c>
      <c r="B96" s="3" t="str">
        <f>"039457039"</f>
        <v>039457039</v>
      </c>
      <c r="C96" s="3" t="s">
        <v>319</v>
      </c>
      <c r="D96" s="3" t="s">
        <v>322</v>
      </c>
      <c r="E96" s="3" t="s">
        <v>321</v>
      </c>
      <c r="F96" s="2">
        <v>44197</v>
      </c>
      <c r="G96" s="2">
        <v>44561</v>
      </c>
      <c r="H96" s="126" t="s">
        <v>26</v>
      </c>
      <c r="I96" s="3" t="s">
        <v>20</v>
      </c>
      <c r="J96" s="3" t="s">
        <v>32</v>
      </c>
      <c r="K96" s="3"/>
    </row>
    <row r="97" spans="1:11" ht="57.6" x14ac:dyDescent="0.3">
      <c r="A97" s="3" t="s">
        <v>323</v>
      </c>
      <c r="B97" s="3" t="str">
        <f>"029636014"</f>
        <v>029636014</v>
      </c>
      <c r="C97" s="3" t="s">
        <v>324</v>
      </c>
      <c r="D97" s="3" t="s">
        <v>325</v>
      </c>
      <c r="E97" s="3" t="s">
        <v>326</v>
      </c>
      <c r="F97" s="2">
        <v>42948</v>
      </c>
      <c r="G97" s="2">
        <v>43860</v>
      </c>
      <c r="H97" s="127" t="s">
        <v>16</v>
      </c>
      <c r="I97" s="128" t="s">
        <v>73</v>
      </c>
      <c r="J97" s="3" t="s">
        <v>32</v>
      </c>
      <c r="K97" s="3"/>
    </row>
    <row r="98" spans="1:11" ht="72" x14ac:dyDescent="0.3">
      <c r="A98" s="3" t="s">
        <v>327</v>
      </c>
      <c r="B98" s="3" t="str">
        <f>"028087029"</f>
        <v>028087029</v>
      </c>
      <c r="C98" s="3" t="s">
        <v>328</v>
      </c>
      <c r="D98" s="3" t="s">
        <v>329</v>
      </c>
      <c r="E98" s="3" t="s">
        <v>330</v>
      </c>
      <c r="F98" s="2">
        <v>43486</v>
      </c>
      <c r="G98" s="2"/>
      <c r="H98" s="129" t="s">
        <v>26</v>
      </c>
      <c r="I98" s="3" t="s">
        <v>20</v>
      </c>
      <c r="J98" s="3" t="s">
        <v>32</v>
      </c>
      <c r="K98" s="3"/>
    </row>
    <row r="99" spans="1:11" ht="72" x14ac:dyDescent="0.3">
      <c r="A99" s="3" t="s">
        <v>331</v>
      </c>
      <c r="B99" s="3" t="str">
        <f>"028725125"</f>
        <v>028725125</v>
      </c>
      <c r="C99" s="3" t="s">
        <v>97</v>
      </c>
      <c r="D99" s="3" t="s">
        <v>332</v>
      </c>
      <c r="E99" s="3" t="s">
        <v>333</v>
      </c>
      <c r="F99" s="2">
        <v>44044</v>
      </c>
      <c r="G99" s="2">
        <v>44196</v>
      </c>
      <c r="H99" s="130" t="s">
        <v>16</v>
      </c>
      <c r="I99" s="3" t="s">
        <v>334</v>
      </c>
      <c r="J99" s="3" t="s">
        <v>32</v>
      </c>
      <c r="K99" s="3"/>
    </row>
    <row r="100" spans="1:11" ht="57.6" x14ac:dyDescent="0.3">
      <c r="A100" s="3" t="s">
        <v>335</v>
      </c>
      <c r="B100" s="3" t="str">
        <f>"035262070"</f>
        <v>035262070</v>
      </c>
      <c r="C100" s="3" t="s">
        <v>336</v>
      </c>
      <c r="D100" s="3" t="s">
        <v>337</v>
      </c>
      <c r="E100" s="3" t="s">
        <v>338</v>
      </c>
      <c r="F100" s="2">
        <v>43061</v>
      </c>
      <c r="G100" s="2"/>
      <c r="H100" s="131" t="s">
        <v>16</v>
      </c>
      <c r="I100" s="132" t="s">
        <v>31</v>
      </c>
      <c r="J100" s="3" t="s">
        <v>32</v>
      </c>
      <c r="K100" s="3"/>
    </row>
    <row r="101" spans="1:11" ht="57.6" x14ac:dyDescent="0.3">
      <c r="A101" s="3" t="s">
        <v>335</v>
      </c>
      <c r="B101" s="3" t="str">
        <f>"035262157"</f>
        <v>035262157</v>
      </c>
      <c r="C101" s="3" t="s">
        <v>336</v>
      </c>
      <c r="D101" s="3" t="s">
        <v>339</v>
      </c>
      <c r="E101" s="3" t="s">
        <v>338</v>
      </c>
      <c r="F101" s="2">
        <v>43444</v>
      </c>
      <c r="G101" s="2"/>
      <c r="H101" s="133" t="s">
        <v>16</v>
      </c>
      <c r="I101" s="3" t="s">
        <v>20</v>
      </c>
      <c r="J101" s="3" t="s">
        <v>32</v>
      </c>
      <c r="K101" s="3"/>
    </row>
    <row r="102" spans="1:11" ht="57.6" x14ac:dyDescent="0.3">
      <c r="A102" s="3" t="s">
        <v>335</v>
      </c>
      <c r="B102" s="3" t="str">
        <f>"035262284"</f>
        <v>035262284</v>
      </c>
      <c r="C102" s="3" t="s">
        <v>336</v>
      </c>
      <c r="D102" s="3" t="s">
        <v>340</v>
      </c>
      <c r="E102" s="3" t="s">
        <v>338</v>
      </c>
      <c r="F102" s="2">
        <v>42782</v>
      </c>
      <c r="G102" s="2"/>
      <c r="H102" s="134" t="s">
        <v>16</v>
      </c>
      <c r="I102" s="3" t="s">
        <v>20</v>
      </c>
      <c r="J102" s="3" t="s">
        <v>32</v>
      </c>
      <c r="K102" s="3"/>
    </row>
    <row r="103" spans="1:11" ht="86.4" x14ac:dyDescent="0.3">
      <c r="A103" s="3" t="s">
        <v>341</v>
      </c>
      <c r="B103" s="3" t="str">
        <f>"031902012"</f>
        <v>031902012</v>
      </c>
      <c r="C103" s="3" t="s">
        <v>342</v>
      </c>
      <c r="D103" s="3" t="s">
        <v>343</v>
      </c>
      <c r="E103" s="3" t="s">
        <v>333</v>
      </c>
      <c r="F103" s="2">
        <v>44221</v>
      </c>
      <c r="G103" s="2">
        <v>44316</v>
      </c>
      <c r="H103" s="135" t="s">
        <v>16</v>
      </c>
      <c r="I103" s="3" t="s">
        <v>20</v>
      </c>
      <c r="J103" s="3" t="s">
        <v>32</v>
      </c>
      <c r="K103" s="3" t="s">
        <v>344</v>
      </c>
    </row>
    <row r="104" spans="1:11" ht="86.4" x14ac:dyDescent="0.3">
      <c r="A104" s="3" t="s">
        <v>345</v>
      </c>
      <c r="B104" s="3" t="str">
        <f>"038110019"</f>
        <v>038110019</v>
      </c>
      <c r="C104" s="3" t="s">
        <v>346</v>
      </c>
      <c r="D104" s="3" t="s">
        <v>347</v>
      </c>
      <c r="E104" s="3" t="s">
        <v>348</v>
      </c>
      <c r="F104" s="2">
        <v>42794</v>
      </c>
      <c r="G104" s="2"/>
      <c r="H104" s="136" t="s">
        <v>26</v>
      </c>
      <c r="I104" s="3" t="s">
        <v>20</v>
      </c>
      <c r="J104" s="3" t="s">
        <v>32</v>
      </c>
      <c r="K104" s="3"/>
    </row>
    <row r="105" spans="1:11" ht="57.6" x14ac:dyDescent="0.3">
      <c r="A105" s="3" t="s">
        <v>349</v>
      </c>
      <c r="B105" s="3" t="str">
        <f>"040308049"</f>
        <v>040308049</v>
      </c>
      <c r="C105" s="3" t="s">
        <v>350</v>
      </c>
      <c r="D105" s="3" t="s">
        <v>351</v>
      </c>
      <c r="E105" s="3" t="s">
        <v>352</v>
      </c>
      <c r="F105" s="2">
        <v>42991</v>
      </c>
      <c r="G105" s="2"/>
      <c r="H105" s="137" t="s">
        <v>26</v>
      </c>
      <c r="I105" s="138" t="s">
        <v>73</v>
      </c>
      <c r="J105" s="3" t="s">
        <v>32</v>
      </c>
      <c r="K105" s="3"/>
    </row>
    <row r="106" spans="1:11" ht="57.6" x14ac:dyDescent="0.3">
      <c r="A106" s="3" t="s">
        <v>353</v>
      </c>
      <c r="B106" s="3" t="str">
        <f>"020854028"</f>
        <v>020854028</v>
      </c>
      <c r="C106" s="3" t="s">
        <v>354</v>
      </c>
      <c r="D106" s="3" t="s">
        <v>355</v>
      </c>
      <c r="E106" s="3" t="s">
        <v>356</v>
      </c>
      <c r="F106" s="2">
        <v>44226</v>
      </c>
      <c r="G106" s="2">
        <v>44347</v>
      </c>
      <c r="H106" s="139" t="s">
        <v>16</v>
      </c>
      <c r="I106" s="3" t="s">
        <v>20</v>
      </c>
      <c r="J106" s="3" t="s">
        <v>32</v>
      </c>
      <c r="K106" s="3"/>
    </row>
    <row r="107" spans="1:11" ht="72" x14ac:dyDescent="0.3">
      <c r="A107" s="3" t="s">
        <v>357</v>
      </c>
      <c r="B107" s="3" t="str">
        <f>"029244047"</f>
        <v>029244047</v>
      </c>
      <c r="C107" s="3" t="s">
        <v>358</v>
      </c>
      <c r="D107" s="3" t="s">
        <v>359</v>
      </c>
      <c r="E107" s="3" t="s">
        <v>333</v>
      </c>
      <c r="F107" s="2">
        <v>42992</v>
      </c>
      <c r="G107" s="2"/>
      <c r="H107" s="140" t="s">
        <v>16</v>
      </c>
      <c r="I107" s="141" t="s">
        <v>73</v>
      </c>
      <c r="J107" s="3" t="s">
        <v>32</v>
      </c>
      <c r="K107" s="3"/>
    </row>
    <row r="108" spans="1:11" ht="72" x14ac:dyDescent="0.3">
      <c r="A108" s="3" t="s">
        <v>357</v>
      </c>
      <c r="B108" s="3" t="str">
        <f>"029244023"</f>
        <v>029244023</v>
      </c>
      <c r="C108" s="3" t="s">
        <v>358</v>
      </c>
      <c r="D108" s="3" t="s">
        <v>360</v>
      </c>
      <c r="E108" s="3" t="s">
        <v>333</v>
      </c>
      <c r="F108" s="2">
        <v>42992</v>
      </c>
      <c r="G108" s="2"/>
      <c r="H108" s="142" t="s">
        <v>16</v>
      </c>
      <c r="I108" s="143" t="s">
        <v>73</v>
      </c>
      <c r="J108" s="3" t="s">
        <v>51</v>
      </c>
      <c r="K108" s="3"/>
    </row>
    <row r="109" spans="1:11" ht="86.4" x14ac:dyDescent="0.3">
      <c r="A109" s="3" t="s">
        <v>361</v>
      </c>
      <c r="B109" s="3" t="str">
        <f>"034960056"</f>
        <v>034960056</v>
      </c>
      <c r="C109" s="3" t="s">
        <v>362</v>
      </c>
      <c r="D109" s="3" t="s">
        <v>363</v>
      </c>
      <c r="E109" s="3" t="s">
        <v>229</v>
      </c>
      <c r="F109" s="2">
        <v>43891</v>
      </c>
      <c r="G109" s="2">
        <v>44134</v>
      </c>
      <c r="H109" s="144" t="s">
        <v>26</v>
      </c>
      <c r="I109" s="3" t="s">
        <v>20</v>
      </c>
      <c r="J109" s="3" t="s">
        <v>51</v>
      </c>
      <c r="K109" s="3"/>
    </row>
    <row r="110" spans="1:11" ht="86.4" x14ac:dyDescent="0.3">
      <c r="A110" s="3" t="s">
        <v>361</v>
      </c>
      <c r="B110" s="3" t="str">
        <f>"034960068"</f>
        <v>034960068</v>
      </c>
      <c r="C110" s="3" t="s">
        <v>362</v>
      </c>
      <c r="D110" s="3" t="s">
        <v>364</v>
      </c>
      <c r="E110" s="3" t="s">
        <v>229</v>
      </c>
      <c r="F110" s="2">
        <v>43891</v>
      </c>
      <c r="G110" s="2">
        <v>44134</v>
      </c>
      <c r="H110" s="145" t="s">
        <v>26</v>
      </c>
      <c r="I110" s="3" t="s">
        <v>20</v>
      </c>
      <c r="J110" s="3" t="s">
        <v>51</v>
      </c>
      <c r="K110" s="3"/>
    </row>
    <row r="111" spans="1:11" ht="57.6" x14ac:dyDescent="0.3">
      <c r="A111" s="3" t="s">
        <v>365</v>
      </c>
      <c r="B111" s="3" t="str">
        <f>"006141016"</f>
        <v>006141016</v>
      </c>
      <c r="C111" s="3" t="s">
        <v>366</v>
      </c>
      <c r="D111" s="3" t="s">
        <v>367</v>
      </c>
      <c r="E111" s="3" t="s">
        <v>368</v>
      </c>
      <c r="F111" s="2">
        <v>44197</v>
      </c>
      <c r="G111" s="2"/>
      <c r="H111" s="146" t="s">
        <v>16</v>
      </c>
      <c r="I111" s="147" t="s">
        <v>31</v>
      </c>
      <c r="J111" s="3" t="s">
        <v>32</v>
      </c>
      <c r="K111" s="3"/>
    </row>
    <row r="112" spans="1:11" ht="129.6" x14ac:dyDescent="0.3">
      <c r="A112" s="3" t="s">
        <v>369</v>
      </c>
      <c r="B112" s="3" t="str">
        <f>"034832194"</f>
        <v>034832194</v>
      </c>
      <c r="C112" s="3" t="s">
        <v>370</v>
      </c>
      <c r="D112" s="3" t="s">
        <v>371</v>
      </c>
      <c r="E112" s="3" t="s">
        <v>216</v>
      </c>
      <c r="F112" s="2">
        <v>44105</v>
      </c>
      <c r="G112" s="2"/>
      <c r="H112" s="148" t="s">
        <v>16</v>
      </c>
      <c r="I112" s="149" t="s">
        <v>31</v>
      </c>
      <c r="J112" s="3" t="s">
        <v>32</v>
      </c>
      <c r="K112" s="3" t="s">
        <v>372</v>
      </c>
    </row>
    <row r="113" spans="1:11" ht="129.6" x14ac:dyDescent="0.3">
      <c r="A113" s="3" t="s">
        <v>369</v>
      </c>
      <c r="B113" s="3" t="str">
        <f>"034832271"</f>
        <v>034832271</v>
      </c>
      <c r="C113" s="3" t="s">
        <v>370</v>
      </c>
      <c r="D113" s="3" t="s">
        <v>373</v>
      </c>
      <c r="E113" s="3" t="s">
        <v>216</v>
      </c>
      <c r="F113" s="2">
        <v>44105</v>
      </c>
      <c r="G113" s="2"/>
      <c r="H113" s="150" t="s">
        <v>16</v>
      </c>
      <c r="I113" s="151" t="s">
        <v>31</v>
      </c>
      <c r="J113" s="3" t="s">
        <v>32</v>
      </c>
      <c r="K113" s="3" t="s">
        <v>372</v>
      </c>
    </row>
    <row r="114" spans="1:11" ht="72" x14ac:dyDescent="0.3">
      <c r="A114" s="3" t="s">
        <v>369</v>
      </c>
      <c r="B114" s="3" t="str">
        <f>"034832319"</f>
        <v>034832319</v>
      </c>
      <c r="C114" s="3" t="s">
        <v>370</v>
      </c>
      <c r="D114" s="3" t="s">
        <v>374</v>
      </c>
      <c r="E114" s="3" t="s">
        <v>216</v>
      </c>
      <c r="F114" s="2">
        <v>43490</v>
      </c>
      <c r="G114" s="2"/>
      <c r="H114" s="152" t="s">
        <v>16</v>
      </c>
      <c r="I114" s="153" t="s">
        <v>31</v>
      </c>
      <c r="J114" s="3" t="s">
        <v>32</v>
      </c>
      <c r="K114" s="3" t="s">
        <v>375</v>
      </c>
    </row>
    <row r="115" spans="1:11" ht="72" x14ac:dyDescent="0.3">
      <c r="A115" s="3" t="s">
        <v>369</v>
      </c>
      <c r="B115" s="3" t="str">
        <f>"034832345"</f>
        <v>034832345</v>
      </c>
      <c r="C115" s="3" t="s">
        <v>370</v>
      </c>
      <c r="D115" s="3" t="s">
        <v>376</v>
      </c>
      <c r="E115" s="3" t="s">
        <v>216</v>
      </c>
      <c r="F115" s="2">
        <v>43530</v>
      </c>
      <c r="G115" s="2"/>
      <c r="H115" s="154" t="s">
        <v>16</v>
      </c>
      <c r="I115" s="155" t="s">
        <v>31</v>
      </c>
      <c r="J115" s="3" t="s">
        <v>32</v>
      </c>
      <c r="K115" s="3" t="s">
        <v>375</v>
      </c>
    </row>
    <row r="116" spans="1:11" ht="57.6" x14ac:dyDescent="0.3">
      <c r="A116" s="3" t="s">
        <v>377</v>
      </c>
      <c r="B116" s="3" t="str">
        <f>"027850104"</f>
        <v>027850104</v>
      </c>
      <c r="C116" s="3" t="s">
        <v>378</v>
      </c>
      <c r="D116" s="3" t="s">
        <v>379</v>
      </c>
      <c r="E116" s="3" t="s">
        <v>188</v>
      </c>
      <c r="F116" s="2">
        <v>44197</v>
      </c>
      <c r="G116" s="2"/>
      <c r="H116" s="156" t="s">
        <v>16</v>
      </c>
      <c r="I116" s="157" t="s">
        <v>73</v>
      </c>
      <c r="J116" s="3" t="s">
        <v>32</v>
      </c>
      <c r="K116" s="3"/>
    </row>
    <row r="117" spans="1:11" ht="57.6" x14ac:dyDescent="0.3">
      <c r="A117" s="3" t="s">
        <v>377</v>
      </c>
      <c r="B117" s="3" t="str">
        <f>"027850142"</f>
        <v>027850142</v>
      </c>
      <c r="C117" s="3" t="s">
        <v>378</v>
      </c>
      <c r="D117" s="3" t="s">
        <v>380</v>
      </c>
      <c r="E117" s="3" t="s">
        <v>188</v>
      </c>
      <c r="F117" s="2">
        <v>44197</v>
      </c>
      <c r="G117" s="2"/>
      <c r="H117" s="158" t="s">
        <v>16</v>
      </c>
      <c r="I117" s="159" t="s">
        <v>73</v>
      </c>
      <c r="J117" s="3" t="s">
        <v>32</v>
      </c>
      <c r="K117" s="3"/>
    </row>
    <row r="118" spans="1:11" ht="57.6" x14ac:dyDescent="0.3">
      <c r="A118" s="3" t="s">
        <v>381</v>
      </c>
      <c r="B118" s="3" t="str">
        <f>"019311012"</f>
        <v>019311012</v>
      </c>
      <c r="C118" s="3" t="s">
        <v>382</v>
      </c>
      <c r="D118" s="3" t="s">
        <v>383</v>
      </c>
      <c r="E118" s="3" t="s">
        <v>220</v>
      </c>
      <c r="F118" s="2">
        <v>43955</v>
      </c>
      <c r="G118" s="2">
        <v>44501</v>
      </c>
      <c r="H118" s="160" t="s">
        <v>26</v>
      </c>
      <c r="I118" s="3" t="s">
        <v>20</v>
      </c>
      <c r="J118" s="3" t="s">
        <v>32</v>
      </c>
      <c r="K118" s="3"/>
    </row>
    <row r="119" spans="1:11" ht="57.6" x14ac:dyDescent="0.3">
      <c r="A119" s="3" t="s">
        <v>384</v>
      </c>
      <c r="B119" s="3" t="str">
        <f>"028990012"</f>
        <v>028990012</v>
      </c>
      <c r="C119" s="3" t="s">
        <v>35</v>
      </c>
      <c r="D119" s="3" t="s">
        <v>385</v>
      </c>
      <c r="E119" s="3" t="s">
        <v>116</v>
      </c>
      <c r="F119" s="2">
        <v>43784</v>
      </c>
      <c r="G119" s="2"/>
      <c r="H119" s="161" t="s">
        <v>16</v>
      </c>
      <c r="I119" s="3" t="s">
        <v>20</v>
      </c>
      <c r="J119" s="3" t="s">
        <v>32</v>
      </c>
      <c r="K119" s="3"/>
    </row>
    <row r="120" spans="1:11" ht="57.6" x14ac:dyDescent="0.3">
      <c r="A120" s="3" t="s">
        <v>386</v>
      </c>
      <c r="B120" s="3" t="str">
        <f>"027807066"</f>
        <v>027807066</v>
      </c>
      <c r="C120" s="3" t="s">
        <v>387</v>
      </c>
      <c r="D120" s="3" t="s">
        <v>388</v>
      </c>
      <c r="E120" s="3" t="s">
        <v>333</v>
      </c>
      <c r="F120" s="2">
        <v>44075</v>
      </c>
      <c r="G120" s="2"/>
      <c r="H120" s="162" t="s">
        <v>16</v>
      </c>
      <c r="I120" s="163" t="s">
        <v>31</v>
      </c>
      <c r="J120" s="3" t="s">
        <v>32</v>
      </c>
      <c r="K120" s="3"/>
    </row>
    <row r="121" spans="1:11" ht="57.6" x14ac:dyDescent="0.3">
      <c r="A121" s="3" t="s">
        <v>389</v>
      </c>
      <c r="B121" s="3" t="str">
        <f>"022643011"</f>
        <v>022643011</v>
      </c>
      <c r="C121" s="3" t="s">
        <v>390</v>
      </c>
      <c r="D121" s="3" t="s">
        <v>391</v>
      </c>
      <c r="E121" s="3" t="s">
        <v>392</v>
      </c>
      <c r="F121" s="2">
        <v>43191</v>
      </c>
      <c r="G121" s="2"/>
      <c r="H121" s="164" t="s">
        <v>16</v>
      </c>
      <c r="I121" s="165" t="s">
        <v>31</v>
      </c>
      <c r="J121" s="3" t="s">
        <v>32</v>
      </c>
      <c r="K121" s="3"/>
    </row>
    <row r="122" spans="1:11" ht="57.6" x14ac:dyDescent="0.3">
      <c r="A122" s="3" t="s">
        <v>389</v>
      </c>
      <c r="B122" s="3" t="str">
        <f>"022643023"</f>
        <v>022643023</v>
      </c>
      <c r="C122" s="3" t="s">
        <v>390</v>
      </c>
      <c r="D122" s="3" t="s">
        <v>393</v>
      </c>
      <c r="E122" s="3" t="s">
        <v>392</v>
      </c>
      <c r="F122" s="2">
        <v>43067</v>
      </c>
      <c r="G122" s="2"/>
      <c r="H122" s="166" t="s">
        <v>16</v>
      </c>
      <c r="I122" s="167" t="s">
        <v>31</v>
      </c>
      <c r="J122" s="3" t="s">
        <v>32</v>
      </c>
      <c r="K122" s="3"/>
    </row>
    <row r="123" spans="1:11" ht="28.8" x14ac:dyDescent="0.3">
      <c r="A123" s="3" t="s">
        <v>394</v>
      </c>
      <c r="B123" s="3" t="str">
        <f>"015724053"</f>
        <v>015724053</v>
      </c>
      <c r="C123" s="3" t="s">
        <v>395</v>
      </c>
      <c r="D123" s="3" t="s">
        <v>396</v>
      </c>
      <c r="E123" s="3" t="s">
        <v>55</v>
      </c>
      <c r="F123" s="2">
        <v>43814</v>
      </c>
      <c r="G123" s="2">
        <v>44092</v>
      </c>
      <c r="H123" s="168" t="s">
        <v>16</v>
      </c>
      <c r="I123" s="3" t="s">
        <v>20</v>
      </c>
      <c r="J123" s="3" t="s">
        <v>51</v>
      </c>
      <c r="K123" s="3"/>
    </row>
    <row r="124" spans="1:11" ht="57.6" x14ac:dyDescent="0.3">
      <c r="A124" s="3" t="s">
        <v>397</v>
      </c>
      <c r="B124" s="3" t="str">
        <f>"045707015"</f>
        <v>045707015</v>
      </c>
      <c r="C124" s="3" t="s">
        <v>398</v>
      </c>
      <c r="D124" s="3" t="s">
        <v>399</v>
      </c>
      <c r="E124" s="3" t="s">
        <v>37</v>
      </c>
      <c r="F124" s="2">
        <v>43936</v>
      </c>
      <c r="G124" s="2">
        <v>44104</v>
      </c>
      <c r="H124" s="169" t="s">
        <v>26</v>
      </c>
      <c r="I124" s="3" t="s">
        <v>42</v>
      </c>
      <c r="J124" s="3" t="s">
        <v>32</v>
      </c>
      <c r="K124" s="3"/>
    </row>
    <row r="125" spans="1:11" ht="57.6" x14ac:dyDescent="0.3">
      <c r="A125" s="3" t="s">
        <v>400</v>
      </c>
      <c r="B125" s="3" t="str">
        <f>"023207057"</f>
        <v>023207057</v>
      </c>
      <c r="C125" s="3" t="s">
        <v>401</v>
      </c>
      <c r="D125" s="3" t="s">
        <v>402</v>
      </c>
      <c r="E125" s="3" t="s">
        <v>403</v>
      </c>
      <c r="F125" s="2">
        <v>43586</v>
      </c>
      <c r="G125" s="2"/>
      <c r="H125" s="170" t="s">
        <v>16</v>
      </c>
      <c r="I125" s="171" t="s">
        <v>73</v>
      </c>
      <c r="J125" s="3" t="s">
        <v>32</v>
      </c>
      <c r="K125" s="3"/>
    </row>
    <row r="126" spans="1:11" ht="57.6" x14ac:dyDescent="0.3">
      <c r="A126" s="3" t="s">
        <v>404</v>
      </c>
      <c r="B126" s="3" t="str">
        <f>"043060019"</f>
        <v>043060019</v>
      </c>
      <c r="C126" s="3" t="s">
        <v>405</v>
      </c>
      <c r="D126" s="3" t="s">
        <v>406</v>
      </c>
      <c r="E126" s="3" t="s">
        <v>407</v>
      </c>
      <c r="F126" s="2">
        <v>44126</v>
      </c>
      <c r="G126" s="2">
        <v>44397</v>
      </c>
      <c r="H126" s="172" t="s">
        <v>16</v>
      </c>
      <c r="I126" s="3" t="s">
        <v>42</v>
      </c>
      <c r="J126" s="3" t="s">
        <v>32</v>
      </c>
      <c r="K126" s="3"/>
    </row>
    <row r="127" spans="1:11" ht="72" x14ac:dyDescent="0.3">
      <c r="A127" s="3" t="s">
        <v>408</v>
      </c>
      <c r="B127" s="3" t="str">
        <f>"045006018"</f>
        <v>045006018</v>
      </c>
      <c r="C127" s="3" t="s">
        <v>53</v>
      </c>
      <c r="D127" s="3" t="s">
        <v>409</v>
      </c>
      <c r="E127" s="3" t="s">
        <v>112</v>
      </c>
      <c r="F127" s="2">
        <v>43969</v>
      </c>
      <c r="G127" s="2">
        <v>44012</v>
      </c>
      <c r="H127" s="173" t="s">
        <v>26</v>
      </c>
      <c r="I127" s="3" t="s">
        <v>20</v>
      </c>
      <c r="J127" s="3" t="s">
        <v>32</v>
      </c>
      <c r="K127" s="3"/>
    </row>
    <row r="128" spans="1:11" ht="57.6" x14ac:dyDescent="0.3">
      <c r="A128" s="3" t="s">
        <v>410</v>
      </c>
      <c r="B128" s="3" t="str">
        <f>"028109015"</f>
        <v>028109015</v>
      </c>
      <c r="C128" s="3" t="s">
        <v>411</v>
      </c>
      <c r="D128" s="3" t="s">
        <v>412</v>
      </c>
      <c r="E128" s="3" t="s">
        <v>413</v>
      </c>
      <c r="F128" s="2">
        <v>43504</v>
      </c>
      <c r="G128" s="2"/>
      <c r="H128" s="174" t="s">
        <v>16</v>
      </c>
      <c r="I128" s="175" t="s">
        <v>31</v>
      </c>
      <c r="J128" s="3" t="s">
        <v>32</v>
      </c>
      <c r="K128" s="3"/>
    </row>
    <row r="129" spans="1:11" ht="100.8" x14ac:dyDescent="0.3">
      <c r="A129" s="3" t="s">
        <v>414</v>
      </c>
      <c r="B129" s="3" t="str">
        <f>"029417019"</f>
        <v>029417019</v>
      </c>
      <c r="C129" s="3" t="s">
        <v>182</v>
      </c>
      <c r="D129" s="3" t="s">
        <v>415</v>
      </c>
      <c r="E129" s="3" t="s">
        <v>313</v>
      </c>
      <c r="F129" s="2">
        <v>44075</v>
      </c>
      <c r="G129" s="2"/>
      <c r="H129" s="176" t="s">
        <v>16</v>
      </c>
      <c r="I129" s="3" t="s">
        <v>42</v>
      </c>
      <c r="J129" s="3" t="s">
        <v>51</v>
      </c>
      <c r="K129" s="3" t="s">
        <v>154</v>
      </c>
    </row>
    <row r="130" spans="1:11" ht="100.8" x14ac:dyDescent="0.3">
      <c r="A130" s="3" t="s">
        <v>414</v>
      </c>
      <c r="B130" s="3" t="str">
        <f>"029417021"</f>
        <v>029417021</v>
      </c>
      <c r="C130" s="3" t="s">
        <v>182</v>
      </c>
      <c r="D130" s="3" t="s">
        <v>416</v>
      </c>
      <c r="E130" s="3" t="s">
        <v>313</v>
      </c>
      <c r="F130" s="2">
        <v>43890</v>
      </c>
      <c r="G130" s="2"/>
      <c r="H130" s="177" t="s">
        <v>16</v>
      </c>
      <c r="I130" s="3" t="s">
        <v>17</v>
      </c>
      <c r="J130" s="3" t="s">
        <v>51</v>
      </c>
      <c r="K130" s="3" t="s">
        <v>154</v>
      </c>
    </row>
    <row r="131" spans="1:11" ht="86.4" x14ac:dyDescent="0.3">
      <c r="A131" s="3" t="s">
        <v>417</v>
      </c>
      <c r="B131" s="3" t="str">
        <f>"039235015"</f>
        <v>039235015</v>
      </c>
      <c r="C131" s="3" t="s">
        <v>119</v>
      </c>
      <c r="D131" s="3" t="s">
        <v>418</v>
      </c>
      <c r="E131" s="3" t="s">
        <v>37</v>
      </c>
      <c r="F131" s="2">
        <v>43070</v>
      </c>
      <c r="G131" s="2"/>
      <c r="H131" s="178" t="s">
        <v>16</v>
      </c>
      <c r="I131" s="179" t="s">
        <v>31</v>
      </c>
      <c r="J131" s="3" t="s">
        <v>18</v>
      </c>
      <c r="K131" s="3"/>
    </row>
    <row r="132" spans="1:11" ht="86.4" x14ac:dyDescent="0.3">
      <c r="A132" s="3" t="s">
        <v>417</v>
      </c>
      <c r="B132" s="3" t="str">
        <f>"039235027"</f>
        <v>039235027</v>
      </c>
      <c r="C132" s="3" t="s">
        <v>119</v>
      </c>
      <c r="D132" s="3" t="s">
        <v>419</v>
      </c>
      <c r="E132" s="3" t="s">
        <v>37</v>
      </c>
      <c r="F132" s="2">
        <v>43923</v>
      </c>
      <c r="G132" s="2">
        <v>44165</v>
      </c>
      <c r="H132" s="180" t="s">
        <v>26</v>
      </c>
      <c r="I132" s="3" t="s">
        <v>42</v>
      </c>
      <c r="J132" s="3" t="s">
        <v>18</v>
      </c>
      <c r="K132" s="3"/>
    </row>
    <row r="133" spans="1:11" ht="86.4" x14ac:dyDescent="0.3">
      <c r="A133" s="3" t="s">
        <v>417</v>
      </c>
      <c r="B133" s="3" t="str">
        <f>"039235039"</f>
        <v>039235039</v>
      </c>
      <c r="C133" s="3" t="s">
        <v>119</v>
      </c>
      <c r="D133" s="3" t="s">
        <v>420</v>
      </c>
      <c r="E133" s="3" t="s">
        <v>37</v>
      </c>
      <c r="F133" s="2">
        <v>43923</v>
      </c>
      <c r="G133" s="2">
        <v>44165</v>
      </c>
      <c r="H133" s="181" t="s">
        <v>26</v>
      </c>
      <c r="I133" s="3" t="s">
        <v>42</v>
      </c>
      <c r="J133" s="3" t="s">
        <v>18</v>
      </c>
      <c r="K133" s="3"/>
    </row>
    <row r="134" spans="1:11" ht="86.4" x14ac:dyDescent="0.3">
      <c r="A134" s="3" t="s">
        <v>421</v>
      </c>
      <c r="B134" s="3" t="str">
        <f>"039120011"</f>
        <v>039120011</v>
      </c>
      <c r="C134" s="3" t="s">
        <v>119</v>
      </c>
      <c r="D134" s="3" t="s">
        <v>422</v>
      </c>
      <c r="E134" s="3" t="s">
        <v>423</v>
      </c>
      <c r="F134" s="2">
        <v>43941</v>
      </c>
      <c r="G134" s="2">
        <v>43959</v>
      </c>
      <c r="H134" s="182" t="s">
        <v>16</v>
      </c>
      <c r="I134" s="3" t="s">
        <v>42</v>
      </c>
      <c r="J134" s="3" t="s">
        <v>18</v>
      </c>
      <c r="K134" s="3"/>
    </row>
    <row r="135" spans="1:11" ht="86.4" x14ac:dyDescent="0.3">
      <c r="A135" s="3" t="s">
        <v>421</v>
      </c>
      <c r="B135" s="3" t="str">
        <f>"039120023"</f>
        <v>039120023</v>
      </c>
      <c r="C135" s="3" t="s">
        <v>119</v>
      </c>
      <c r="D135" s="3" t="s">
        <v>424</v>
      </c>
      <c r="E135" s="3" t="s">
        <v>423</v>
      </c>
      <c r="F135" s="2">
        <v>43941</v>
      </c>
      <c r="G135" s="2">
        <v>43982</v>
      </c>
      <c r="H135" s="183" t="s">
        <v>16</v>
      </c>
      <c r="I135" s="3" t="s">
        <v>42</v>
      </c>
      <c r="J135" s="3" t="s">
        <v>18</v>
      </c>
      <c r="K135" s="3"/>
    </row>
    <row r="136" spans="1:11" ht="57.6" x14ac:dyDescent="0.3">
      <c r="A136" s="3" t="s">
        <v>425</v>
      </c>
      <c r="B136" s="3" t="str">
        <f>"038704019"</f>
        <v>038704019</v>
      </c>
      <c r="C136" s="3" t="s">
        <v>426</v>
      </c>
      <c r="D136" s="3" t="s">
        <v>427</v>
      </c>
      <c r="E136" s="3" t="s">
        <v>428</v>
      </c>
      <c r="F136" s="2">
        <v>42919</v>
      </c>
      <c r="G136" s="2"/>
      <c r="H136" s="184" t="s">
        <v>16</v>
      </c>
      <c r="I136" s="185" t="s">
        <v>31</v>
      </c>
      <c r="J136" s="3" t="s">
        <v>32</v>
      </c>
      <c r="K136" s="3"/>
    </row>
    <row r="137" spans="1:11" ht="43.2" x14ac:dyDescent="0.3">
      <c r="A137" s="3" t="s">
        <v>429</v>
      </c>
      <c r="B137" s="3" t="str">
        <f>"045773013"</f>
        <v>045773013</v>
      </c>
      <c r="C137" s="3" t="s">
        <v>430</v>
      </c>
      <c r="D137" s="3" t="s">
        <v>431</v>
      </c>
      <c r="E137" s="3" t="s">
        <v>432</v>
      </c>
      <c r="F137" s="2">
        <v>43962</v>
      </c>
      <c r="G137" s="2">
        <v>44027</v>
      </c>
      <c r="H137" s="186" t="s">
        <v>26</v>
      </c>
      <c r="I137" s="3" t="s">
        <v>20</v>
      </c>
      <c r="J137" s="3" t="s">
        <v>51</v>
      </c>
      <c r="K137" s="3"/>
    </row>
    <row r="138" spans="1:11" ht="57.6" x14ac:dyDescent="0.3">
      <c r="A138" s="3" t="s">
        <v>433</v>
      </c>
      <c r="B138" s="3" t="str">
        <f>"023892019"</f>
        <v>023892019</v>
      </c>
      <c r="C138" s="3" t="s">
        <v>218</v>
      </c>
      <c r="D138" s="3" t="s">
        <v>434</v>
      </c>
      <c r="E138" s="3" t="s">
        <v>435</v>
      </c>
      <c r="F138" s="2">
        <v>44180</v>
      </c>
      <c r="G138" s="2">
        <v>44562</v>
      </c>
      <c r="H138" s="187" t="s">
        <v>16</v>
      </c>
      <c r="I138" s="3" t="s">
        <v>20</v>
      </c>
      <c r="J138" s="3" t="s">
        <v>32</v>
      </c>
      <c r="K138" s="3"/>
    </row>
    <row r="139" spans="1:11" ht="57.6" x14ac:dyDescent="0.3">
      <c r="A139" s="3" t="s">
        <v>436</v>
      </c>
      <c r="B139" s="3" t="str">
        <f>"041926027"</f>
        <v>041926027</v>
      </c>
      <c r="C139" s="3" t="s">
        <v>437</v>
      </c>
      <c r="D139" s="3" t="s">
        <v>438</v>
      </c>
      <c r="E139" s="3" t="s">
        <v>428</v>
      </c>
      <c r="F139" s="2">
        <v>43069</v>
      </c>
      <c r="G139" s="2"/>
      <c r="H139" s="188" t="s">
        <v>16</v>
      </c>
      <c r="I139" s="189" t="s">
        <v>31</v>
      </c>
      <c r="J139" s="3" t="s">
        <v>32</v>
      </c>
      <c r="K139" s="3"/>
    </row>
    <row r="140" spans="1:11" ht="43.2" x14ac:dyDescent="0.3">
      <c r="A140" s="3" t="s">
        <v>436</v>
      </c>
      <c r="B140" s="3" t="str">
        <f>"041926041"</f>
        <v>041926041</v>
      </c>
      <c r="C140" s="3" t="s">
        <v>437</v>
      </c>
      <c r="D140" s="3" t="s">
        <v>439</v>
      </c>
      <c r="E140" s="3" t="s">
        <v>428</v>
      </c>
      <c r="F140" s="2">
        <v>44039</v>
      </c>
      <c r="G140" s="2">
        <v>44166</v>
      </c>
      <c r="H140" s="190" t="s">
        <v>16</v>
      </c>
      <c r="I140" s="3" t="s">
        <v>42</v>
      </c>
      <c r="J140" s="3" t="s">
        <v>51</v>
      </c>
      <c r="K140" s="3"/>
    </row>
    <row r="141" spans="1:11" ht="72" x14ac:dyDescent="0.3">
      <c r="A141" s="3" t="s">
        <v>440</v>
      </c>
      <c r="B141" s="3" t="str">
        <f>"044530044"</f>
        <v>044530044</v>
      </c>
      <c r="C141" s="3" t="s">
        <v>441</v>
      </c>
      <c r="D141" s="3" t="s">
        <v>442</v>
      </c>
      <c r="E141" s="3" t="s">
        <v>443</v>
      </c>
      <c r="F141" s="2">
        <v>43756</v>
      </c>
      <c r="G141" s="2">
        <v>44196</v>
      </c>
      <c r="H141" s="191" t="s">
        <v>16</v>
      </c>
      <c r="I141" s="3" t="s">
        <v>27</v>
      </c>
      <c r="J141" s="3" t="s">
        <v>32</v>
      </c>
      <c r="K141" s="3"/>
    </row>
    <row r="142" spans="1:11" ht="115.2" x14ac:dyDescent="0.3">
      <c r="A142" s="3" t="s">
        <v>440</v>
      </c>
      <c r="B142" s="3" t="str">
        <f>"044530107"</f>
        <v>044530107</v>
      </c>
      <c r="C142" s="3" t="s">
        <v>441</v>
      </c>
      <c r="D142" s="3" t="s">
        <v>444</v>
      </c>
      <c r="E142" s="3" t="s">
        <v>443</v>
      </c>
      <c r="F142" s="2">
        <v>43784</v>
      </c>
      <c r="G142" s="2">
        <v>44196</v>
      </c>
      <c r="H142" s="192" t="s">
        <v>16</v>
      </c>
      <c r="I142" s="3" t="s">
        <v>27</v>
      </c>
      <c r="J142" s="3" t="s">
        <v>28</v>
      </c>
      <c r="K142" s="3"/>
    </row>
    <row r="143" spans="1:11" ht="86.4" x14ac:dyDescent="0.3">
      <c r="A143" s="3" t="s">
        <v>445</v>
      </c>
      <c r="B143" s="3" t="str">
        <f>"016766026"</f>
        <v>016766026</v>
      </c>
      <c r="C143" s="3" t="s">
        <v>441</v>
      </c>
      <c r="D143" s="3" t="s">
        <v>446</v>
      </c>
      <c r="E143" s="3" t="s">
        <v>15</v>
      </c>
      <c r="F143" s="2">
        <v>43636</v>
      </c>
      <c r="G143" s="2"/>
      <c r="H143" s="193" t="s">
        <v>26</v>
      </c>
      <c r="I143" s="3" t="s">
        <v>20</v>
      </c>
      <c r="J143" s="3" t="s">
        <v>32</v>
      </c>
      <c r="K143" s="3" t="s">
        <v>447</v>
      </c>
    </row>
    <row r="144" spans="1:11" ht="86.4" x14ac:dyDescent="0.3">
      <c r="A144" s="3" t="s">
        <v>445</v>
      </c>
      <c r="B144" s="3" t="str">
        <f>"016766040"</f>
        <v>016766040</v>
      </c>
      <c r="C144" s="3" t="s">
        <v>441</v>
      </c>
      <c r="D144" s="3" t="s">
        <v>448</v>
      </c>
      <c r="E144" s="3" t="s">
        <v>15</v>
      </c>
      <c r="F144" s="2">
        <v>43619</v>
      </c>
      <c r="G144" s="2"/>
      <c r="H144" s="194" t="s">
        <v>26</v>
      </c>
      <c r="I144" s="3" t="s">
        <v>20</v>
      </c>
      <c r="J144" s="3" t="s">
        <v>449</v>
      </c>
      <c r="K144" s="3" t="s">
        <v>447</v>
      </c>
    </row>
    <row r="145" spans="1:11" ht="57.6" x14ac:dyDescent="0.3">
      <c r="A145" s="3" t="s">
        <v>450</v>
      </c>
      <c r="B145" s="3" t="str">
        <f>"028845028"</f>
        <v>028845028</v>
      </c>
      <c r="C145" s="3" t="s">
        <v>451</v>
      </c>
      <c r="D145" s="3" t="s">
        <v>452</v>
      </c>
      <c r="E145" s="3" t="s">
        <v>55</v>
      </c>
      <c r="F145" s="2">
        <v>43930</v>
      </c>
      <c r="G145" s="2">
        <v>44025</v>
      </c>
      <c r="H145" s="195" t="s">
        <v>16</v>
      </c>
      <c r="I145" s="3" t="s">
        <v>42</v>
      </c>
      <c r="J145" s="3" t="s">
        <v>32</v>
      </c>
      <c r="K145" s="3"/>
    </row>
    <row r="146" spans="1:11" ht="57.6" x14ac:dyDescent="0.3">
      <c r="A146" s="3" t="s">
        <v>453</v>
      </c>
      <c r="B146" s="3" t="str">
        <f>"027951033"</f>
        <v>027951033</v>
      </c>
      <c r="C146" s="3" t="s">
        <v>454</v>
      </c>
      <c r="D146" s="3" t="s">
        <v>455</v>
      </c>
      <c r="E146" s="3" t="s">
        <v>116</v>
      </c>
      <c r="F146" s="2">
        <v>43800</v>
      </c>
      <c r="G146" s="2"/>
      <c r="H146" s="196" t="s">
        <v>26</v>
      </c>
      <c r="I146" s="197" t="s">
        <v>31</v>
      </c>
      <c r="J146" s="3" t="s">
        <v>32</v>
      </c>
      <c r="K146" s="3"/>
    </row>
    <row r="147" spans="1:11" ht="72" x14ac:dyDescent="0.3">
      <c r="A147" s="3" t="s">
        <v>453</v>
      </c>
      <c r="B147" s="3" t="str">
        <f>"027951045"</f>
        <v>027951045</v>
      </c>
      <c r="C147" s="3" t="s">
        <v>454</v>
      </c>
      <c r="D147" s="3" t="s">
        <v>187</v>
      </c>
      <c r="E147" s="3" t="s">
        <v>116</v>
      </c>
      <c r="F147" s="2">
        <v>43721</v>
      </c>
      <c r="G147" s="2"/>
      <c r="H147" s="198" t="s">
        <v>26</v>
      </c>
      <c r="I147" s="199" t="s">
        <v>31</v>
      </c>
      <c r="J147" s="3" t="s">
        <v>32</v>
      </c>
      <c r="K147" s="3"/>
    </row>
    <row r="148" spans="1:11" ht="57.6" x14ac:dyDescent="0.3">
      <c r="A148" s="3" t="s">
        <v>456</v>
      </c>
      <c r="B148" s="3" t="str">
        <f>"038981015"</f>
        <v>038981015</v>
      </c>
      <c r="C148" s="3" t="s">
        <v>457</v>
      </c>
      <c r="D148" s="3" t="s">
        <v>458</v>
      </c>
      <c r="E148" s="3" t="s">
        <v>413</v>
      </c>
      <c r="F148" s="2">
        <v>43430</v>
      </c>
      <c r="G148" s="2">
        <v>44469</v>
      </c>
      <c r="H148" s="200" t="s">
        <v>16</v>
      </c>
      <c r="I148" s="3" t="s">
        <v>20</v>
      </c>
      <c r="J148" s="3" t="s">
        <v>51</v>
      </c>
      <c r="K148" s="3"/>
    </row>
    <row r="149" spans="1:11" ht="57.6" x14ac:dyDescent="0.3">
      <c r="A149" s="3" t="s">
        <v>459</v>
      </c>
      <c r="B149" s="3" t="str">
        <f>"036395022"</f>
        <v>036395022</v>
      </c>
      <c r="C149" s="3" t="s">
        <v>23</v>
      </c>
      <c r="D149" s="3" t="s">
        <v>460</v>
      </c>
      <c r="E149" s="3" t="s">
        <v>461</v>
      </c>
      <c r="F149" s="2">
        <v>43900</v>
      </c>
      <c r="G149" s="2">
        <v>44226</v>
      </c>
      <c r="H149" s="201" t="s">
        <v>26</v>
      </c>
      <c r="I149" s="3" t="s">
        <v>20</v>
      </c>
      <c r="J149" s="3" t="s">
        <v>32</v>
      </c>
      <c r="K149" s="3"/>
    </row>
    <row r="150" spans="1:11" ht="57.6" x14ac:dyDescent="0.3">
      <c r="A150" s="3" t="s">
        <v>462</v>
      </c>
      <c r="B150" s="3" t="str">
        <f>"033718053"</f>
        <v>033718053</v>
      </c>
      <c r="C150" s="3" t="s">
        <v>23</v>
      </c>
      <c r="D150" s="3" t="s">
        <v>463</v>
      </c>
      <c r="E150" s="3" t="s">
        <v>464</v>
      </c>
      <c r="F150" s="2">
        <v>44226</v>
      </c>
      <c r="G150" s="2">
        <v>44561</v>
      </c>
      <c r="H150" s="202" t="s">
        <v>16</v>
      </c>
      <c r="I150" s="3" t="s">
        <v>20</v>
      </c>
      <c r="J150" s="3" t="s">
        <v>32</v>
      </c>
      <c r="K150" s="3"/>
    </row>
    <row r="151" spans="1:11" ht="57.6" x14ac:dyDescent="0.3">
      <c r="A151" s="3" t="s">
        <v>465</v>
      </c>
      <c r="B151" s="3" t="str">
        <f>"031975016"</f>
        <v>031975016</v>
      </c>
      <c r="C151" s="3" t="s">
        <v>139</v>
      </c>
      <c r="D151" s="3" t="s">
        <v>466</v>
      </c>
      <c r="E151" s="3" t="s">
        <v>55</v>
      </c>
      <c r="F151" s="2">
        <v>44130</v>
      </c>
      <c r="G151" s="2">
        <v>44148</v>
      </c>
      <c r="H151" s="203" t="s">
        <v>26</v>
      </c>
      <c r="I151" s="3" t="s">
        <v>467</v>
      </c>
      <c r="J151" s="3" t="s">
        <v>32</v>
      </c>
      <c r="K151" s="3"/>
    </row>
    <row r="152" spans="1:11" ht="57.6" x14ac:dyDescent="0.3">
      <c r="A152" s="3" t="s">
        <v>465</v>
      </c>
      <c r="B152" s="3" t="str">
        <f>"031975028"</f>
        <v>031975028</v>
      </c>
      <c r="C152" s="3" t="s">
        <v>139</v>
      </c>
      <c r="D152" s="3" t="s">
        <v>468</v>
      </c>
      <c r="E152" s="3" t="s">
        <v>55</v>
      </c>
      <c r="F152" s="2">
        <v>44130</v>
      </c>
      <c r="G152" s="2">
        <v>44148</v>
      </c>
      <c r="H152" s="204" t="s">
        <v>26</v>
      </c>
      <c r="I152" s="3" t="s">
        <v>42</v>
      </c>
      <c r="J152" s="3" t="s">
        <v>32</v>
      </c>
      <c r="K152" s="3"/>
    </row>
    <row r="153" spans="1:11" ht="57.6" x14ac:dyDescent="0.3">
      <c r="A153" s="3" t="s">
        <v>465</v>
      </c>
      <c r="B153" s="3" t="str">
        <f>"031975030"</f>
        <v>031975030</v>
      </c>
      <c r="C153" s="3" t="s">
        <v>139</v>
      </c>
      <c r="D153" s="3" t="s">
        <v>469</v>
      </c>
      <c r="E153" s="3" t="s">
        <v>55</v>
      </c>
      <c r="F153" s="2">
        <v>44120</v>
      </c>
      <c r="G153" s="2">
        <v>44225</v>
      </c>
      <c r="H153" s="205" t="s">
        <v>26</v>
      </c>
      <c r="I153" s="3" t="s">
        <v>42</v>
      </c>
      <c r="J153" s="3" t="s">
        <v>32</v>
      </c>
      <c r="K153" s="3"/>
    </row>
    <row r="154" spans="1:11" ht="57.6" x14ac:dyDescent="0.3">
      <c r="A154" s="3" t="s">
        <v>465</v>
      </c>
      <c r="B154" s="3" t="str">
        <f>"031975055"</f>
        <v>031975055</v>
      </c>
      <c r="C154" s="3" t="s">
        <v>139</v>
      </c>
      <c r="D154" s="3" t="s">
        <v>470</v>
      </c>
      <c r="E154" s="3" t="s">
        <v>55</v>
      </c>
      <c r="F154" s="2">
        <v>44130</v>
      </c>
      <c r="G154" s="2">
        <v>44225</v>
      </c>
      <c r="H154" s="206" t="s">
        <v>26</v>
      </c>
      <c r="I154" s="3" t="s">
        <v>467</v>
      </c>
      <c r="J154" s="3" t="s">
        <v>32</v>
      </c>
      <c r="K154" s="3"/>
    </row>
    <row r="155" spans="1:11" ht="57.6" x14ac:dyDescent="0.3">
      <c r="A155" s="3" t="s">
        <v>471</v>
      </c>
      <c r="B155" s="3" t="str">
        <f>"025999121"</f>
        <v>025999121</v>
      </c>
      <c r="C155" s="3" t="s">
        <v>472</v>
      </c>
      <c r="D155" s="3" t="s">
        <v>473</v>
      </c>
      <c r="E155" s="3" t="s">
        <v>474</v>
      </c>
      <c r="F155" s="2">
        <v>43405</v>
      </c>
      <c r="G155" s="2"/>
      <c r="H155" s="207" t="s">
        <v>16</v>
      </c>
      <c r="I155" s="3" t="s">
        <v>475</v>
      </c>
      <c r="J155" s="3" t="s">
        <v>32</v>
      </c>
      <c r="K155" s="3"/>
    </row>
    <row r="156" spans="1:11" ht="57.6" x14ac:dyDescent="0.3">
      <c r="A156" s="3" t="s">
        <v>476</v>
      </c>
      <c r="B156" s="3" t="str">
        <f>"026616019"</f>
        <v>026616019</v>
      </c>
      <c r="C156" s="3" t="s">
        <v>477</v>
      </c>
      <c r="D156" s="3" t="s">
        <v>478</v>
      </c>
      <c r="E156" s="3" t="s">
        <v>90</v>
      </c>
      <c r="F156" s="2">
        <v>43763</v>
      </c>
      <c r="G156" s="2"/>
      <c r="H156" s="208" t="s">
        <v>16</v>
      </c>
      <c r="I156" s="3" t="s">
        <v>20</v>
      </c>
      <c r="J156" s="3" t="s">
        <v>32</v>
      </c>
      <c r="K156" s="3" t="s">
        <v>479</v>
      </c>
    </row>
    <row r="157" spans="1:11" ht="28.8" x14ac:dyDescent="0.3">
      <c r="A157" s="3" t="s">
        <v>480</v>
      </c>
      <c r="B157" s="3" t="str">
        <f>"021153010"</f>
        <v>021153010</v>
      </c>
      <c r="C157" s="3" t="s">
        <v>481</v>
      </c>
      <c r="D157" s="3" t="s">
        <v>482</v>
      </c>
      <c r="E157" s="3" t="s">
        <v>145</v>
      </c>
      <c r="F157" s="2">
        <v>42671</v>
      </c>
      <c r="G157" s="2">
        <v>44561</v>
      </c>
      <c r="H157" s="209" t="s">
        <v>16</v>
      </c>
      <c r="I157" s="3" t="s">
        <v>20</v>
      </c>
      <c r="J157" s="3" t="s">
        <v>51</v>
      </c>
      <c r="K157" s="3"/>
    </row>
    <row r="158" spans="1:11" ht="28.8" x14ac:dyDescent="0.3">
      <c r="A158" s="3" t="s">
        <v>480</v>
      </c>
      <c r="B158" s="3" t="str">
        <f>"021153022"</f>
        <v>021153022</v>
      </c>
      <c r="C158" s="3" t="s">
        <v>481</v>
      </c>
      <c r="D158" s="3" t="s">
        <v>483</v>
      </c>
      <c r="E158" s="3" t="s">
        <v>145</v>
      </c>
      <c r="F158" s="2">
        <v>42689</v>
      </c>
      <c r="G158" s="2">
        <v>44561</v>
      </c>
      <c r="H158" s="210" t="s">
        <v>16</v>
      </c>
      <c r="I158" s="3" t="s">
        <v>20</v>
      </c>
      <c r="J158" s="3" t="s">
        <v>51</v>
      </c>
      <c r="K158" s="3"/>
    </row>
    <row r="159" spans="1:11" ht="57.6" x14ac:dyDescent="0.3">
      <c r="A159" s="3" t="s">
        <v>484</v>
      </c>
      <c r="B159" s="3" t="str">
        <f>"035143015"</f>
        <v>035143015</v>
      </c>
      <c r="C159" s="3" t="s">
        <v>319</v>
      </c>
      <c r="D159" s="3" t="s">
        <v>485</v>
      </c>
      <c r="E159" s="3" t="s">
        <v>321</v>
      </c>
      <c r="F159" s="2">
        <v>44197</v>
      </c>
      <c r="G159" s="2">
        <v>44561</v>
      </c>
      <c r="H159" s="211" t="s">
        <v>26</v>
      </c>
      <c r="I159" s="3" t="s">
        <v>20</v>
      </c>
      <c r="J159" s="3" t="s">
        <v>32</v>
      </c>
      <c r="K159" s="3"/>
    </row>
    <row r="160" spans="1:11" ht="57.6" x14ac:dyDescent="0.3">
      <c r="A160" s="3" t="s">
        <v>484</v>
      </c>
      <c r="B160" s="3" t="str">
        <f>"035143027"</f>
        <v>035143027</v>
      </c>
      <c r="C160" s="3" t="s">
        <v>319</v>
      </c>
      <c r="D160" s="3" t="s">
        <v>486</v>
      </c>
      <c r="E160" s="3" t="s">
        <v>321</v>
      </c>
      <c r="F160" s="2">
        <v>44197</v>
      </c>
      <c r="G160" s="2">
        <v>44561</v>
      </c>
      <c r="H160" s="212" t="s">
        <v>26</v>
      </c>
      <c r="I160" s="3" t="s">
        <v>20</v>
      </c>
      <c r="J160" s="3" t="s">
        <v>32</v>
      </c>
      <c r="K160" s="3"/>
    </row>
    <row r="161" spans="1:11" ht="57.6" x14ac:dyDescent="0.3">
      <c r="A161" s="3" t="s">
        <v>484</v>
      </c>
      <c r="B161" s="3" t="str">
        <f>"035143039"</f>
        <v>035143039</v>
      </c>
      <c r="C161" s="3" t="s">
        <v>319</v>
      </c>
      <c r="D161" s="3" t="s">
        <v>487</v>
      </c>
      <c r="E161" s="3" t="s">
        <v>321</v>
      </c>
      <c r="F161" s="2">
        <v>44197</v>
      </c>
      <c r="G161" s="2">
        <v>44561</v>
      </c>
      <c r="H161" s="213" t="s">
        <v>26</v>
      </c>
      <c r="I161" s="3" t="s">
        <v>20</v>
      </c>
      <c r="J161" s="3" t="s">
        <v>32</v>
      </c>
      <c r="K161" s="3"/>
    </row>
    <row r="162" spans="1:11" ht="57.6" x14ac:dyDescent="0.3">
      <c r="A162" s="3" t="s">
        <v>488</v>
      </c>
      <c r="B162" s="3" t="str">
        <f>"040652012"</f>
        <v>040652012</v>
      </c>
      <c r="C162" s="3" t="s">
        <v>319</v>
      </c>
      <c r="D162" s="3" t="s">
        <v>489</v>
      </c>
      <c r="E162" s="3" t="s">
        <v>321</v>
      </c>
      <c r="F162" s="2">
        <v>44197</v>
      </c>
      <c r="G162" s="2">
        <v>44561</v>
      </c>
      <c r="H162" s="214" t="s">
        <v>26</v>
      </c>
      <c r="I162" s="3" t="s">
        <v>20</v>
      </c>
      <c r="J162" s="3" t="s">
        <v>32</v>
      </c>
      <c r="K162" s="3"/>
    </row>
    <row r="163" spans="1:11" ht="57.6" x14ac:dyDescent="0.3">
      <c r="A163" s="3" t="s">
        <v>488</v>
      </c>
      <c r="B163" s="3" t="str">
        <f>"040652048"</f>
        <v>040652048</v>
      </c>
      <c r="C163" s="3" t="s">
        <v>319</v>
      </c>
      <c r="D163" s="3" t="s">
        <v>490</v>
      </c>
      <c r="E163" s="3" t="s">
        <v>321</v>
      </c>
      <c r="F163" s="2">
        <v>44197</v>
      </c>
      <c r="G163" s="2">
        <v>44561</v>
      </c>
      <c r="H163" s="215" t="s">
        <v>26</v>
      </c>
      <c r="I163" s="3" t="s">
        <v>20</v>
      </c>
      <c r="J163" s="3" t="s">
        <v>32</v>
      </c>
      <c r="K163" s="3"/>
    </row>
    <row r="164" spans="1:11" ht="57.6" x14ac:dyDescent="0.3">
      <c r="A164" s="3" t="s">
        <v>488</v>
      </c>
      <c r="B164" s="3" t="str">
        <f>"040652075"</f>
        <v>040652075</v>
      </c>
      <c r="C164" s="3" t="s">
        <v>319</v>
      </c>
      <c r="D164" s="3" t="s">
        <v>491</v>
      </c>
      <c r="E164" s="3" t="s">
        <v>321</v>
      </c>
      <c r="F164" s="2">
        <v>44197</v>
      </c>
      <c r="G164" s="2">
        <v>44561</v>
      </c>
      <c r="H164" s="216" t="s">
        <v>26</v>
      </c>
      <c r="I164" s="3" t="s">
        <v>20</v>
      </c>
      <c r="J164" s="3" t="s">
        <v>32</v>
      </c>
      <c r="K164" s="3"/>
    </row>
    <row r="165" spans="1:11" ht="57.6" x14ac:dyDescent="0.3">
      <c r="A165" s="3" t="s">
        <v>488</v>
      </c>
      <c r="B165" s="3" t="str">
        <f>"040652101"</f>
        <v>040652101</v>
      </c>
      <c r="C165" s="3" t="s">
        <v>319</v>
      </c>
      <c r="D165" s="3" t="s">
        <v>492</v>
      </c>
      <c r="E165" s="3" t="s">
        <v>321</v>
      </c>
      <c r="F165" s="2">
        <v>44197</v>
      </c>
      <c r="G165" s="2">
        <v>44561</v>
      </c>
      <c r="H165" s="217" t="s">
        <v>26</v>
      </c>
      <c r="I165" s="3" t="s">
        <v>20</v>
      </c>
      <c r="J165" s="3" t="s">
        <v>32</v>
      </c>
      <c r="K165" s="3"/>
    </row>
    <row r="166" spans="1:11" ht="57.6" x14ac:dyDescent="0.3">
      <c r="A166" s="3" t="s">
        <v>488</v>
      </c>
      <c r="B166" s="3" t="str">
        <f>"040652137"</f>
        <v>040652137</v>
      </c>
      <c r="C166" s="3" t="s">
        <v>319</v>
      </c>
      <c r="D166" s="3" t="s">
        <v>493</v>
      </c>
      <c r="E166" s="3" t="s">
        <v>321</v>
      </c>
      <c r="F166" s="2">
        <v>44197</v>
      </c>
      <c r="G166" s="2">
        <v>44561</v>
      </c>
      <c r="H166" s="218" t="s">
        <v>26</v>
      </c>
      <c r="I166" s="3" t="s">
        <v>20</v>
      </c>
      <c r="J166" s="3" t="s">
        <v>32</v>
      </c>
      <c r="K166" s="3"/>
    </row>
    <row r="167" spans="1:11" ht="57.6" x14ac:dyDescent="0.3">
      <c r="A167" s="3" t="s">
        <v>488</v>
      </c>
      <c r="B167" s="3" t="str">
        <f>"040652164"</f>
        <v>040652164</v>
      </c>
      <c r="C167" s="3" t="s">
        <v>319</v>
      </c>
      <c r="D167" s="3" t="s">
        <v>494</v>
      </c>
      <c r="E167" s="3" t="s">
        <v>321</v>
      </c>
      <c r="F167" s="2">
        <v>44197</v>
      </c>
      <c r="G167" s="2">
        <v>44561</v>
      </c>
      <c r="H167" s="219" t="s">
        <v>26</v>
      </c>
      <c r="I167" s="3" t="s">
        <v>20</v>
      </c>
      <c r="J167" s="3" t="s">
        <v>32</v>
      </c>
      <c r="K167" s="3"/>
    </row>
    <row r="168" spans="1:11" ht="57.6" x14ac:dyDescent="0.3">
      <c r="A168" s="3" t="s">
        <v>495</v>
      </c>
      <c r="B168" s="3" t="str">
        <f>"041582038"</f>
        <v>041582038</v>
      </c>
      <c r="C168" s="3" t="s">
        <v>496</v>
      </c>
      <c r="D168" s="3" t="s">
        <v>497</v>
      </c>
      <c r="E168" s="3" t="s">
        <v>498</v>
      </c>
      <c r="F168" s="2">
        <v>44139</v>
      </c>
      <c r="G168" s="2">
        <v>44561</v>
      </c>
      <c r="H168" s="220" t="s">
        <v>26</v>
      </c>
      <c r="I168" s="3" t="s">
        <v>122</v>
      </c>
      <c r="J168" s="3" t="s">
        <v>32</v>
      </c>
      <c r="K168" s="3"/>
    </row>
    <row r="169" spans="1:11" ht="129.6" x14ac:dyDescent="0.3">
      <c r="A169" s="3" t="s">
        <v>499</v>
      </c>
      <c r="B169" s="3" t="str">
        <f>"034852018"</f>
        <v>034852018</v>
      </c>
      <c r="C169" s="3" t="s">
        <v>500</v>
      </c>
      <c r="D169" s="3" t="s">
        <v>501</v>
      </c>
      <c r="E169" s="3" t="s">
        <v>216</v>
      </c>
      <c r="F169" s="2">
        <v>44155</v>
      </c>
      <c r="G169" s="2"/>
      <c r="H169" s="221" t="s">
        <v>16</v>
      </c>
      <c r="I169" s="222" t="s">
        <v>31</v>
      </c>
      <c r="J169" s="3" t="s">
        <v>32</v>
      </c>
      <c r="K169" s="3" t="s">
        <v>372</v>
      </c>
    </row>
    <row r="170" spans="1:11" ht="57.6" x14ac:dyDescent="0.3">
      <c r="A170" s="3" t="s">
        <v>499</v>
      </c>
      <c r="B170" s="3" t="str">
        <f>"034852160"</f>
        <v>034852160</v>
      </c>
      <c r="C170" s="3" t="s">
        <v>500</v>
      </c>
      <c r="D170" s="3" t="s">
        <v>502</v>
      </c>
      <c r="E170" s="3" t="s">
        <v>216</v>
      </c>
      <c r="F170" s="2">
        <v>43510</v>
      </c>
      <c r="G170" s="2"/>
      <c r="H170" s="223" t="s">
        <v>16</v>
      </c>
      <c r="I170" s="224" t="s">
        <v>31</v>
      </c>
      <c r="J170" s="3" t="s">
        <v>32</v>
      </c>
      <c r="K170" s="3"/>
    </row>
    <row r="171" spans="1:11" ht="57.6" x14ac:dyDescent="0.3">
      <c r="A171" s="3" t="s">
        <v>499</v>
      </c>
      <c r="B171" s="3" t="str">
        <f>"034852069"</f>
        <v>034852069</v>
      </c>
      <c r="C171" s="3" t="s">
        <v>500</v>
      </c>
      <c r="D171" s="3" t="s">
        <v>503</v>
      </c>
      <c r="E171" s="3" t="s">
        <v>216</v>
      </c>
      <c r="F171" s="2">
        <v>43032</v>
      </c>
      <c r="G171" s="2"/>
      <c r="H171" s="225" t="s">
        <v>16</v>
      </c>
      <c r="I171" s="226" t="s">
        <v>31</v>
      </c>
      <c r="J171" s="3" t="s">
        <v>32</v>
      </c>
      <c r="K171" s="3"/>
    </row>
    <row r="172" spans="1:11" ht="57.6" x14ac:dyDescent="0.3">
      <c r="A172" s="3" t="s">
        <v>499</v>
      </c>
      <c r="B172" s="3" t="str">
        <f>"034852119"</f>
        <v>034852119</v>
      </c>
      <c r="C172" s="3" t="s">
        <v>500</v>
      </c>
      <c r="D172" s="3" t="s">
        <v>504</v>
      </c>
      <c r="E172" s="3" t="s">
        <v>216</v>
      </c>
      <c r="F172" s="2">
        <v>43308</v>
      </c>
      <c r="G172" s="2"/>
      <c r="H172" s="227" t="s">
        <v>16</v>
      </c>
      <c r="I172" s="228" t="s">
        <v>31</v>
      </c>
      <c r="J172" s="3" t="s">
        <v>32</v>
      </c>
      <c r="K172" s="3"/>
    </row>
    <row r="173" spans="1:11" ht="57.6" x14ac:dyDescent="0.3">
      <c r="A173" s="3" t="s">
        <v>499</v>
      </c>
      <c r="B173" s="3" t="str">
        <f>"034852210"</f>
        <v>034852210</v>
      </c>
      <c r="C173" s="3" t="s">
        <v>500</v>
      </c>
      <c r="D173" s="3" t="s">
        <v>505</v>
      </c>
      <c r="E173" s="3" t="s">
        <v>216</v>
      </c>
      <c r="F173" s="2">
        <v>43411</v>
      </c>
      <c r="G173" s="2"/>
      <c r="H173" s="229" t="s">
        <v>16</v>
      </c>
      <c r="I173" s="230" t="s">
        <v>31</v>
      </c>
      <c r="J173" s="3" t="s">
        <v>32</v>
      </c>
      <c r="K173" s="3"/>
    </row>
    <row r="174" spans="1:11" ht="86.4" x14ac:dyDescent="0.3">
      <c r="A174" s="3" t="s">
        <v>499</v>
      </c>
      <c r="B174" s="3" t="str">
        <f>"034852350"</f>
        <v>034852350</v>
      </c>
      <c r="C174" s="3" t="s">
        <v>500</v>
      </c>
      <c r="D174" s="3" t="s">
        <v>506</v>
      </c>
      <c r="E174" s="3" t="s">
        <v>216</v>
      </c>
      <c r="F174" s="2">
        <v>42937</v>
      </c>
      <c r="G174" s="2"/>
      <c r="H174" s="231" t="s">
        <v>16</v>
      </c>
      <c r="I174" s="232" t="s">
        <v>31</v>
      </c>
      <c r="J174" s="3" t="s">
        <v>32</v>
      </c>
      <c r="K174" s="3"/>
    </row>
    <row r="175" spans="1:11" ht="86.4" x14ac:dyDescent="0.3">
      <c r="A175" s="3" t="s">
        <v>499</v>
      </c>
      <c r="B175" s="3" t="str">
        <f>"034852436"</f>
        <v>034852436</v>
      </c>
      <c r="C175" s="3" t="s">
        <v>500</v>
      </c>
      <c r="D175" s="3" t="s">
        <v>507</v>
      </c>
      <c r="E175" s="3" t="s">
        <v>216</v>
      </c>
      <c r="F175" s="2">
        <v>42937</v>
      </c>
      <c r="G175" s="2"/>
      <c r="H175" s="233" t="s">
        <v>16</v>
      </c>
      <c r="I175" s="234" t="s">
        <v>31</v>
      </c>
      <c r="J175" s="3" t="s">
        <v>32</v>
      </c>
      <c r="K175" s="3"/>
    </row>
    <row r="176" spans="1:11" ht="86.4" x14ac:dyDescent="0.3">
      <c r="A176" s="3" t="s">
        <v>499</v>
      </c>
      <c r="B176" s="3" t="str">
        <f>"034852475"</f>
        <v>034852475</v>
      </c>
      <c r="C176" s="3" t="s">
        <v>500</v>
      </c>
      <c r="D176" s="3" t="s">
        <v>508</v>
      </c>
      <c r="E176" s="3" t="s">
        <v>216</v>
      </c>
      <c r="F176" s="2">
        <v>43364</v>
      </c>
      <c r="G176" s="2"/>
      <c r="H176" s="235" t="s">
        <v>16</v>
      </c>
      <c r="I176" s="236" t="s">
        <v>31</v>
      </c>
      <c r="J176" s="3" t="s">
        <v>32</v>
      </c>
      <c r="K176" s="3"/>
    </row>
    <row r="177" spans="1:11" ht="43.2" x14ac:dyDescent="0.3">
      <c r="A177" s="3" t="s">
        <v>509</v>
      </c>
      <c r="B177" s="3" t="str">
        <f>"020711065"</f>
        <v>020711065</v>
      </c>
      <c r="C177" s="3" t="s">
        <v>510</v>
      </c>
      <c r="D177" s="3" t="s">
        <v>511</v>
      </c>
      <c r="E177" s="3" t="s">
        <v>512</v>
      </c>
      <c r="F177" s="2">
        <v>43539</v>
      </c>
      <c r="G177" s="2"/>
      <c r="H177" s="237" t="s">
        <v>16</v>
      </c>
      <c r="I177" s="3" t="s">
        <v>20</v>
      </c>
      <c r="J177" s="3" t="s">
        <v>51</v>
      </c>
      <c r="K177" s="3"/>
    </row>
    <row r="178" spans="1:11" ht="57.6" x14ac:dyDescent="0.3">
      <c r="A178" s="3" t="s">
        <v>513</v>
      </c>
      <c r="B178" s="3" t="str">
        <f>"027625019"</f>
        <v>027625019</v>
      </c>
      <c r="C178" s="3" t="s">
        <v>514</v>
      </c>
      <c r="D178" s="3" t="s">
        <v>515</v>
      </c>
      <c r="E178" s="3" t="s">
        <v>116</v>
      </c>
      <c r="F178" s="2">
        <v>44197</v>
      </c>
      <c r="G178" s="2">
        <v>44316</v>
      </c>
      <c r="H178" s="238" t="s">
        <v>16</v>
      </c>
      <c r="I178" s="3" t="s">
        <v>20</v>
      </c>
      <c r="J178" s="3" t="s">
        <v>32</v>
      </c>
      <c r="K178" s="3"/>
    </row>
    <row r="179" spans="1:11" ht="129.6" x14ac:dyDescent="0.3">
      <c r="A179" s="3" t="s">
        <v>516</v>
      </c>
      <c r="B179" s="3" t="str">
        <f>"034126084"</f>
        <v>034126084</v>
      </c>
      <c r="C179" s="3" t="s">
        <v>517</v>
      </c>
      <c r="D179" s="3" t="s">
        <v>518</v>
      </c>
      <c r="E179" s="3" t="s">
        <v>519</v>
      </c>
      <c r="F179" s="2">
        <v>43617</v>
      </c>
      <c r="G179" s="2"/>
      <c r="H179" s="239" t="s">
        <v>16</v>
      </c>
      <c r="I179" s="240" t="s">
        <v>31</v>
      </c>
      <c r="J179" s="3" t="s">
        <v>32</v>
      </c>
      <c r="K179" s="3"/>
    </row>
    <row r="180" spans="1:11" ht="57.6" x14ac:dyDescent="0.3">
      <c r="A180" s="3" t="s">
        <v>520</v>
      </c>
      <c r="B180" s="3" t="str">
        <f>"029221013"</f>
        <v>029221013</v>
      </c>
      <c r="C180" s="3" t="s">
        <v>521</v>
      </c>
      <c r="D180" s="3" t="s">
        <v>522</v>
      </c>
      <c r="E180" s="3" t="s">
        <v>498</v>
      </c>
      <c r="F180" s="2">
        <v>43497</v>
      </c>
      <c r="G180" s="2"/>
      <c r="H180" s="241" t="s">
        <v>26</v>
      </c>
      <c r="I180" s="242" t="s">
        <v>31</v>
      </c>
      <c r="J180" s="3" t="s">
        <v>32</v>
      </c>
      <c r="K180" s="3"/>
    </row>
    <row r="181" spans="1:11" ht="57.6" x14ac:dyDescent="0.3">
      <c r="A181" s="3" t="s">
        <v>520</v>
      </c>
      <c r="B181" s="3" t="str">
        <f>"029221025"</f>
        <v>029221025</v>
      </c>
      <c r="C181" s="3" t="s">
        <v>521</v>
      </c>
      <c r="D181" s="3" t="s">
        <v>523</v>
      </c>
      <c r="E181" s="3" t="s">
        <v>498</v>
      </c>
      <c r="F181" s="2">
        <v>43497</v>
      </c>
      <c r="G181" s="2"/>
      <c r="H181" s="243" t="s">
        <v>26</v>
      </c>
      <c r="I181" s="244" t="s">
        <v>31</v>
      </c>
      <c r="J181" s="3" t="s">
        <v>32</v>
      </c>
      <c r="K181" s="3"/>
    </row>
    <row r="182" spans="1:11" ht="57.6" x14ac:dyDescent="0.3">
      <c r="A182" s="3" t="s">
        <v>524</v>
      </c>
      <c r="B182" s="3" t="str">
        <f>"038476038"</f>
        <v>038476038</v>
      </c>
      <c r="C182" s="3" t="s">
        <v>346</v>
      </c>
      <c r="D182" s="3" t="s">
        <v>525</v>
      </c>
      <c r="E182" s="3" t="s">
        <v>348</v>
      </c>
      <c r="F182" s="2">
        <v>42794</v>
      </c>
      <c r="G182" s="2"/>
      <c r="H182" s="245" t="s">
        <v>26</v>
      </c>
      <c r="I182" s="3" t="s">
        <v>20</v>
      </c>
      <c r="J182" s="3" t="s">
        <v>32</v>
      </c>
      <c r="K182" s="3"/>
    </row>
    <row r="183" spans="1:11" ht="57.6" x14ac:dyDescent="0.3">
      <c r="A183" s="3" t="s">
        <v>524</v>
      </c>
      <c r="B183" s="3" t="str">
        <f>"038476040"</f>
        <v>038476040</v>
      </c>
      <c r="C183" s="3" t="s">
        <v>346</v>
      </c>
      <c r="D183" s="3" t="s">
        <v>526</v>
      </c>
      <c r="E183" s="3" t="s">
        <v>348</v>
      </c>
      <c r="F183" s="2">
        <v>42794</v>
      </c>
      <c r="G183" s="2"/>
      <c r="H183" s="246" t="s">
        <v>26</v>
      </c>
      <c r="I183" s="3" t="s">
        <v>20</v>
      </c>
      <c r="J183" s="3" t="s">
        <v>32</v>
      </c>
      <c r="K183" s="3"/>
    </row>
    <row r="184" spans="1:11" ht="57.6" x14ac:dyDescent="0.3">
      <c r="A184" s="3" t="s">
        <v>524</v>
      </c>
      <c r="B184" s="3" t="str">
        <f>"038476026"</f>
        <v>038476026</v>
      </c>
      <c r="C184" s="3" t="s">
        <v>346</v>
      </c>
      <c r="D184" s="3" t="s">
        <v>527</v>
      </c>
      <c r="E184" s="3" t="s">
        <v>348</v>
      </c>
      <c r="F184" s="2">
        <v>42794</v>
      </c>
      <c r="G184" s="2"/>
      <c r="H184" s="247" t="s">
        <v>26</v>
      </c>
      <c r="I184" s="3" t="s">
        <v>20</v>
      </c>
      <c r="J184" s="3" t="s">
        <v>32</v>
      </c>
      <c r="K184" s="3"/>
    </row>
    <row r="185" spans="1:11" ht="57.6" x14ac:dyDescent="0.3">
      <c r="A185" s="3" t="s">
        <v>524</v>
      </c>
      <c r="B185" s="3" t="str">
        <f>"038476014"</f>
        <v>038476014</v>
      </c>
      <c r="C185" s="3" t="s">
        <v>346</v>
      </c>
      <c r="D185" s="3" t="s">
        <v>528</v>
      </c>
      <c r="E185" s="3" t="s">
        <v>348</v>
      </c>
      <c r="F185" s="2">
        <v>42794</v>
      </c>
      <c r="G185" s="2"/>
      <c r="H185" s="248" t="s">
        <v>26</v>
      </c>
      <c r="I185" s="3" t="s">
        <v>20</v>
      </c>
      <c r="J185" s="3" t="s">
        <v>32</v>
      </c>
      <c r="K185" s="3"/>
    </row>
    <row r="186" spans="1:11" ht="57.6" x14ac:dyDescent="0.3">
      <c r="A186" s="3" t="s">
        <v>529</v>
      </c>
      <c r="B186" s="3" t="str">
        <f>"037668035"</f>
        <v>037668035</v>
      </c>
      <c r="C186" s="3" t="s">
        <v>530</v>
      </c>
      <c r="D186" s="3" t="s">
        <v>531</v>
      </c>
      <c r="E186" s="3" t="s">
        <v>464</v>
      </c>
      <c r="F186" s="2">
        <v>44112</v>
      </c>
      <c r="G186" s="2">
        <v>44561</v>
      </c>
      <c r="H186" s="249" t="s">
        <v>26</v>
      </c>
      <c r="I186" s="3" t="s">
        <v>467</v>
      </c>
      <c r="J186" s="3" t="s">
        <v>32</v>
      </c>
      <c r="K186" s="3"/>
    </row>
    <row r="187" spans="1:11" ht="57.6" x14ac:dyDescent="0.3">
      <c r="A187" s="3" t="s">
        <v>532</v>
      </c>
      <c r="B187" s="3" t="str">
        <f>"038717017"</f>
        <v>038717017</v>
      </c>
      <c r="C187" s="3" t="s">
        <v>346</v>
      </c>
      <c r="D187" s="3" t="s">
        <v>533</v>
      </c>
      <c r="E187" s="3" t="s">
        <v>352</v>
      </c>
      <c r="F187" s="2">
        <v>43138</v>
      </c>
      <c r="G187" s="2"/>
      <c r="H187" s="250" t="s">
        <v>26</v>
      </c>
      <c r="I187" s="251" t="s">
        <v>31</v>
      </c>
      <c r="J187" s="3" t="s">
        <v>32</v>
      </c>
      <c r="K187" s="3"/>
    </row>
    <row r="188" spans="1:11" ht="57.6" x14ac:dyDescent="0.3">
      <c r="A188" s="3" t="s">
        <v>532</v>
      </c>
      <c r="B188" s="3" t="str">
        <f>"038717082"</f>
        <v>038717082</v>
      </c>
      <c r="C188" s="3" t="s">
        <v>346</v>
      </c>
      <c r="D188" s="3" t="s">
        <v>534</v>
      </c>
      <c r="E188" s="3" t="s">
        <v>352</v>
      </c>
      <c r="F188" s="2">
        <v>43138</v>
      </c>
      <c r="G188" s="2"/>
      <c r="H188" s="252" t="s">
        <v>26</v>
      </c>
      <c r="I188" s="253" t="s">
        <v>31</v>
      </c>
      <c r="J188" s="3" t="s">
        <v>32</v>
      </c>
      <c r="K188" s="3"/>
    </row>
    <row r="189" spans="1:11" ht="57.6" x14ac:dyDescent="0.3">
      <c r="A189" s="3" t="s">
        <v>535</v>
      </c>
      <c r="B189" s="3" t="str">
        <f>"033690025"</f>
        <v>033690025</v>
      </c>
      <c r="C189" s="3" t="s">
        <v>521</v>
      </c>
      <c r="D189" s="3" t="s">
        <v>536</v>
      </c>
      <c r="E189" s="3" t="s">
        <v>163</v>
      </c>
      <c r="F189" s="2">
        <v>43312</v>
      </c>
      <c r="G189" s="2"/>
      <c r="H189" s="254" t="s">
        <v>26</v>
      </c>
      <c r="I189" s="255" t="s">
        <v>31</v>
      </c>
      <c r="J189" s="3" t="s">
        <v>32</v>
      </c>
      <c r="K189" s="3"/>
    </row>
    <row r="190" spans="1:11" ht="57.6" x14ac:dyDescent="0.3">
      <c r="A190" s="3" t="s">
        <v>521</v>
      </c>
      <c r="B190" s="3" t="str">
        <f>"033423017"</f>
        <v>033423017</v>
      </c>
      <c r="C190" s="3" t="s">
        <v>521</v>
      </c>
      <c r="D190" s="3" t="s">
        <v>537</v>
      </c>
      <c r="E190" s="3" t="s">
        <v>68</v>
      </c>
      <c r="F190" s="2">
        <v>42424</v>
      </c>
      <c r="G190" s="2"/>
      <c r="H190" s="256" t="s">
        <v>26</v>
      </c>
      <c r="I190" s="3" t="s">
        <v>20</v>
      </c>
      <c r="J190" s="3" t="s">
        <v>32</v>
      </c>
      <c r="K190" s="3"/>
    </row>
    <row r="191" spans="1:11" ht="57.6" x14ac:dyDescent="0.3">
      <c r="A191" s="3" t="s">
        <v>521</v>
      </c>
      <c r="B191" s="3" t="str">
        <f>"033423029"</f>
        <v>033423029</v>
      </c>
      <c r="C191" s="3" t="s">
        <v>521</v>
      </c>
      <c r="D191" s="3" t="s">
        <v>538</v>
      </c>
      <c r="E191" s="3" t="s">
        <v>68</v>
      </c>
      <c r="F191" s="2">
        <v>42424</v>
      </c>
      <c r="G191" s="2"/>
      <c r="H191" s="257" t="s">
        <v>26</v>
      </c>
      <c r="I191" s="3" t="s">
        <v>20</v>
      </c>
      <c r="J191" s="3" t="s">
        <v>32</v>
      </c>
      <c r="K191" s="3"/>
    </row>
    <row r="192" spans="1:11" ht="57.6" x14ac:dyDescent="0.3">
      <c r="A192" s="3" t="s">
        <v>521</v>
      </c>
      <c r="B192" s="3" t="str">
        <f>"033423031"</f>
        <v>033423031</v>
      </c>
      <c r="C192" s="3" t="s">
        <v>521</v>
      </c>
      <c r="D192" s="3" t="s">
        <v>539</v>
      </c>
      <c r="E192" s="3" t="s">
        <v>68</v>
      </c>
      <c r="F192" s="2">
        <v>42424</v>
      </c>
      <c r="G192" s="2"/>
      <c r="H192" s="258" t="s">
        <v>26</v>
      </c>
      <c r="I192" s="3" t="s">
        <v>20</v>
      </c>
      <c r="J192" s="3" t="s">
        <v>32</v>
      </c>
      <c r="K192" s="3"/>
    </row>
    <row r="193" spans="1:11" ht="57.6" x14ac:dyDescent="0.3">
      <c r="A193" s="3" t="s">
        <v>540</v>
      </c>
      <c r="B193" s="3" t="str">
        <f>"022501062"</f>
        <v>022501062</v>
      </c>
      <c r="C193" s="3" t="s">
        <v>541</v>
      </c>
      <c r="D193" s="3" t="s">
        <v>542</v>
      </c>
      <c r="E193" s="3" t="s">
        <v>50</v>
      </c>
      <c r="F193" s="2">
        <v>43312</v>
      </c>
      <c r="G193" s="2"/>
      <c r="H193" s="259" t="s">
        <v>16</v>
      </c>
      <c r="I193" s="260" t="s">
        <v>31</v>
      </c>
      <c r="J193" s="3" t="s">
        <v>32</v>
      </c>
      <c r="K193" s="3"/>
    </row>
    <row r="194" spans="1:11" ht="57.6" x14ac:dyDescent="0.3">
      <c r="A194" s="3" t="s">
        <v>543</v>
      </c>
      <c r="B194" s="3" t="str">
        <f>"034933111"</f>
        <v>034933111</v>
      </c>
      <c r="C194" s="3" t="s">
        <v>544</v>
      </c>
      <c r="D194" s="3" t="s">
        <v>545</v>
      </c>
      <c r="E194" s="3" t="s">
        <v>82</v>
      </c>
      <c r="F194" s="2">
        <v>44143</v>
      </c>
      <c r="G194" s="2">
        <v>44227</v>
      </c>
      <c r="H194" s="261" t="s">
        <v>16</v>
      </c>
      <c r="I194" s="3" t="s">
        <v>122</v>
      </c>
      <c r="J194" s="3" t="s">
        <v>51</v>
      </c>
      <c r="K194" s="3"/>
    </row>
    <row r="195" spans="1:11" ht="57.6" x14ac:dyDescent="0.3">
      <c r="A195" s="3" t="s">
        <v>546</v>
      </c>
      <c r="B195" s="3" t="str">
        <f>"036938013"</f>
        <v>036938013</v>
      </c>
      <c r="C195" s="3" t="s">
        <v>382</v>
      </c>
      <c r="D195" s="3" t="s">
        <v>547</v>
      </c>
      <c r="E195" s="3" t="s">
        <v>548</v>
      </c>
      <c r="F195" s="2">
        <v>43672</v>
      </c>
      <c r="G195" s="2"/>
      <c r="H195" s="262" t="s">
        <v>26</v>
      </c>
      <c r="I195" s="3" t="s">
        <v>20</v>
      </c>
      <c r="J195" s="3" t="s">
        <v>32</v>
      </c>
      <c r="K195" s="3"/>
    </row>
    <row r="196" spans="1:11" ht="57.6" x14ac:dyDescent="0.3">
      <c r="A196" s="3" t="s">
        <v>546</v>
      </c>
      <c r="B196" s="3" t="str">
        <f>"036938025"</f>
        <v>036938025</v>
      </c>
      <c r="C196" s="3" t="s">
        <v>382</v>
      </c>
      <c r="D196" s="3" t="s">
        <v>549</v>
      </c>
      <c r="E196" s="3" t="s">
        <v>548</v>
      </c>
      <c r="F196" s="2">
        <v>43672</v>
      </c>
      <c r="G196" s="2"/>
      <c r="H196" s="263" t="s">
        <v>26</v>
      </c>
      <c r="I196" s="3" t="s">
        <v>20</v>
      </c>
      <c r="J196" s="3" t="s">
        <v>32</v>
      </c>
      <c r="K196" s="3"/>
    </row>
    <row r="197" spans="1:11" ht="57.6" x14ac:dyDescent="0.3">
      <c r="A197" s="3" t="s">
        <v>546</v>
      </c>
      <c r="B197" s="3" t="str">
        <f>"036938037"</f>
        <v>036938037</v>
      </c>
      <c r="C197" s="3" t="s">
        <v>382</v>
      </c>
      <c r="D197" s="3" t="s">
        <v>550</v>
      </c>
      <c r="E197" s="3" t="s">
        <v>548</v>
      </c>
      <c r="F197" s="2">
        <v>43672</v>
      </c>
      <c r="G197" s="2"/>
      <c r="H197" s="264" t="s">
        <v>16</v>
      </c>
      <c r="I197" s="3" t="s">
        <v>20</v>
      </c>
      <c r="J197" s="3" t="s">
        <v>32</v>
      </c>
      <c r="K197" s="3"/>
    </row>
    <row r="198" spans="1:11" ht="57.6" x14ac:dyDescent="0.3">
      <c r="A198" s="3" t="s">
        <v>546</v>
      </c>
      <c r="B198" s="3" t="str">
        <f>"036938049"</f>
        <v>036938049</v>
      </c>
      <c r="C198" s="3" t="s">
        <v>382</v>
      </c>
      <c r="D198" s="3" t="s">
        <v>551</v>
      </c>
      <c r="E198" s="3" t="s">
        <v>548</v>
      </c>
      <c r="F198" s="2">
        <v>43672</v>
      </c>
      <c r="G198" s="2"/>
      <c r="H198" s="265" t="s">
        <v>16</v>
      </c>
      <c r="I198" s="3" t="s">
        <v>20</v>
      </c>
      <c r="J198" s="3" t="s">
        <v>32</v>
      </c>
      <c r="K198" s="3"/>
    </row>
    <row r="199" spans="1:11" ht="57.6" x14ac:dyDescent="0.3">
      <c r="A199" s="3" t="s">
        <v>552</v>
      </c>
      <c r="B199" s="3" t="str">
        <f>"036918023"</f>
        <v>036918023</v>
      </c>
      <c r="C199" s="3" t="s">
        <v>382</v>
      </c>
      <c r="D199" s="3" t="s">
        <v>553</v>
      </c>
      <c r="E199" s="3" t="s">
        <v>554</v>
      </c>
      <c r="F199" s="2">
        <v>43724</v>
      </c>
      <c r="G199" s="2"/>
      <c r="H199" s="266" t="s">
        <v>26</v>
      </c>
      <c r="I199" s="3" t="s">
        <v>20</v>
      </c>
      <c r="J199" s="3" t="s">
        <v>32</v>
      </c>
      <c r="K199" s="3"/>
    </row>
    <row r="200" spans="1:11" ht="57.6" x14ac:dyDescent="0.3">
      <c r="A200" s="3" t="s">
        <v>555</v>
      </c>
      <c r="B200" s="3" t="str">
        <f>"024703112"</f>
        <v>024703112</v>
      </c>
      <c r="C200" s="3" t="s">
        <v>556</v>
      </c>
      <c r="D200" s="3" t="s">
        <v>557</v>
      </c>
      <c r="E200" s="3" t="s">
        <v>558</v>
      </c>
      <c r="F200" s="2">
        <v>44104</v>
      </c>
      <c r="G200" s="2">
        <v>44165</v>
      </c>
      <c r="H200" s="267" t="s">
        <v>16</v>
      </c>
      <c r="I200" s="3" t="s">
        <v>334</v>
      </c>
      <c r="J200" s="3" t="s">
        <v>32</v>
      </c>
      <c r="K200" s="3"/>
    </row>
    <row r="201" spans="1:11" ht="72" x14ac:dyDescent="0.3">
      <c r="A201" s="3" t="s">
        <v>559</v>
      </c>
      <c r="B201" s="3" t="str">
        <f>"039550025"</f>
        <v>039550025</v>
      </c>
      <c r="C201" s="3" t="s">
        <v>560</v>
      </c>
      <c r="D201" s="3" t="s">
        <v>561</v>
      </c>
      <c r="E201" s="3" t="s">
        <v>200</v>
      </c>
      <c r="F201" s="2">
        <v>44095</v>
      </c>
      <c r="G201" s="2">
        <v>44155</v>
      </c>
      <c r="H201" s="268" t="s">
        <v>16</v>
      </c>
      <c r="I201" s="3" t="s">
        <v>42</v>
      </c>
      <c r="J201" s="3" t="s">
        <v>32</v>
      </c>
      <c r="K201" s="3"/>
    </row>
    <row r="202" spans="1:11" ht="86.4" x14ac:dyDescent="0.3">
      <c r="A202" s="3" t="s">
        <v>562</v>
      </c>
      <c r="B202" s="3" t="str">
        <f>"034199075"</f>
        <v>034199075</v>
      </c>
      <c r="C202" s="3" t="s">
        <v>563</v>
      </c>
      <c r="D202" s="3" t="s">
        <v>564</v>
      </c>
      <c r="E202" s="3" t="s">
        <v>333</v>
      </c>
      <c r="F202" s="2">
        <v>43027</v>
      </c>
      <c r="G202" s="2"/>
      <c r="H202" s="269" t="s">
        <v>26</v>
      </c>
      <c r="I202" s="270" t="s">
        <v>31</v>
      </c>
      <c r="J202" s="3" t="s">
        <v>51</v>
      </c>
      <c r="K202" s="3"/>
    </row>
    <row r="203" spans="1:11" ht="57.6" x14ac:dyDescent="0.3">
      <c r="A203" s="3" t="s">
        <v>565</v>
      </c>
      <c r="B203" s="3" t="str">
        <f>"030682013"</f>
        <v>030682013</v>
      </c>
      <c r="C203" s="3" t="s">
        <v>566</v>
      </c>
      <c r="D203" s="3" t="s">
        <v>567</v>
      </c>
      <c r="E203" s="3" t="s">
        <v>253</v>
      </c>
      <c r="F203" s="2">
        <v>42917</v>
      </c>
      <c r="G203" s="2"/>
      <c r="H203" s="271" t="s">
        <v>16</v>
      </c>
      <c r="I203" s="3" t="s">
        <v>20</v>
      </c>
      <c r="J203" s="3" t="s">
        <v>32</v>
      </c>
      <c r="K203" s="3"/>
    </row>
    <row r="204" spans="1:11" ht="86.4" x14ac:dyDescent="0.3">
      <c r="A204" s="3" t="s">
        <v>568</v>
      </c>
      <c r="B204" s="3" t="str">
        <f>"027131010"</f>
        <v>027131010</v>
      </c>
      <c r="C204" s="3" t="s">
        <v>569</v>
      </c>
      <c r="D204" s="3" t="s">
        <v>570</v>
      </c>
      <c r="E204" s="3" t="s">
        <v>268</v>
      </c>
      <c r="F204" s="2">
        <v>43924</v>
      </c>
      <c r="G204" s="2">
        <v>43982</v>
      </c>
      <c r="H204" s="272" t="s">
        <v>16</v>
      </c>
      <c r="I204" s="3" t="s">
        <v>20</v>
      </c>
      <c r="J204" s="3" t="s">
        <v>32</v>
      </c>
      <c r="K204" s="3"/>
    </row>
    <row r="205" spans="1:11" ht="57.6" x14ac:dyDescent="0.3">
      <c r="A205" s="3" t="s">
        <v>571</v>
      </c>
      <c r="B205" s="3" t="str">
        <f>"035911054"</f>
        <v>035911054</v>
      </c>
      <c r="C205" s="3" t="s">
        <v>191</v>
      </c>
      <c r="D205" s="3" t="s">
        <v>572</v>
      </c>
      <c r="E205" s="3" t="s">
        <v>573</v>
      </c>
      <c r="F205" s="2">
        <v>43907</v>
      </c>
      <c r="G205" s="2">
        <v>44227</v>
      </c>
      <c r="H205" s="273" t="s">
        <v>26</v>
      </c>
      <c r="I205" s="3" t="s">
        <v>42</v>
      </c>
      <c r="J205" s="3" t="s">
        <v>32</v>
      </c>
      <c r="K205" s="3"/>
    </row>
    <row r="206" spans="1:11" ht="57.6" x14ac:dyDescent="0.3">
      <c r="A206" s="3" t="s">
        <v>571</v>
      </c>
      <c r="B206" s="3" t="str">
        <f>"035911078"</f>
        <v>035911078</v>
      </c>
      <c r="C206" s="3" t="s">
        <v>191</v>
      </c>
      <c r="D206" s="3" t="s">
        <v>574</v>
      </c>
      <c r="E206" s="3" t="s">
        <v>573</v>
      </c>
      <c r="F206" s="2">
        <v>44127</v>
      </c>
      <c r="G206" s="2">
        <v>44227</v>
      </c>
      <c r="H206" s="274" t="s">
        <v>26</v>
      </c>
      <c r="I206" s="3" t="s">
        <v>42</v>
      </c>
      <c r="J206" s="3" t="s">
        <v>32</v>
      </c>
      <c r="K206" s="3"/>
    </row>
    <row r="207" spans="1:11" ht="57.6" x14ac:dyDescent="0.3">
      <c r="A207" s="3" t="s">
        <v>575</v>
      </c>
      <c r="B207" s="3" t="str">
        <f>"036849038"</f>
        <v>036849038</v>
      </c>
      <c r="C207" s="3" t="s">
        <v>191</v>
      </c>
      <c r="D207" s="3" t="s">
        <v>576</v>
      </c>
      <c r="E207" s="3" t="s">
        <v>50</v>
      </c>
      <c r="F207" s="2">
        <v>44072</v>
      </c>
      <c r="G207" s="2"/>
      <c r="H207" s="275" t="s">
        <v>26</v>
      </c>
      <c r="I207" s="276" t="s">
        <v>73</v>
      </c>
      <c r="J207" s="3" t="s">
        <v>32</v>
      </c>
      <c r="K207" s="3"/>
    </row>
    <row r="208" spans="1:11" ht="57.6" x14ac:dyDescent="0.3">
      <c r="A208" s="3" t="s">
        <v>575</v>
      </c>
      <c r="B208" s="3" t="str">
        <f>"036849091"</f>
        <v>036849091</v>
      </c>
      <c r="C208" s="3" t="s">
        <v>191</v>
      </c>
      <c r="D208" s="3" t="s">
        <v>577</v>
      </c>
      <c r="E208" s="3" t="s">
        <v>50</v>
      </c>
      <c r="F208" s="2">
        <v>43913</v>
      </c>
      <c r="G208" s="2">
        <v>44171</v>
      </c>
      <c r="H208" s="277" t="s">
        <v>26</v>
      </c>
      <c r="I208" s="3" t="s">
        <v>42</v>
      </c>
      <c r="J208" s="3" t="s">
        <v>32</v>
      </c>
      <c r="K208" s="3"/>
    </row>
    <row r="209" spans="1:11" ht="57.6" x14ac:dyDescent="0.3">
      <c r="A209" s="3" t="s">
        <v>575</v>
      </c>
      <c r="B209" s="3" t="str">
        <f>"036849127"</f>
        <v>036849127</v>
      </c>
      <c r="C209" s="3" t="s">
        <v>191</v>
      </c>
      <c r="D209" s="3" t="s">
        <v>578</v>
      </c>
      <c r="E209" s="3" t="s">
        <v>50</v>
      </c>
      <c r="F209" s="2">
        <v>43913</v>
      </c>
      <c r="G209" s="2">
        <v>44150</v>
      </c>
      <c r="H209" s="278" t="s">
        <v>26</v>
      </c>
      <c r="I209" s="3" t="s">
        <v>42</v>
      </c>
      <c r="J209" s="3" t="s">
        <v>32</v>
      </c>
      <c r="K209" s="3"/>
    </row>
    <row r="210" spans="1:11" ht="57.6" x14ac:dyDescent="0.3">
      <c r="A210" s="3" t="s">
        <v>579</v>
      </c>
      <c r="B210" s="3" t="str">
        <f>"004698027"</f>
        <v>004698027</v>
      </c>
      <c r="C210" s="3" t="s">
        <v>580</v>
      </c>
      <c r="D210" s="3" t="s">
        <v>581</v>
      </c>
      <c r="E210" s="3" t="s">
        <v>582</v>
      </c>
      <c r="F210" s="2">
        <v>44112</v>
      </c>
      <c r="G210" s="2">
        <v>44561</v>
      </c>
      <c r="H210" s="279" t="s">
        <v>16</v>
      </c>
      <c r="I210" s="3" t="s">
        <v>20</v>
      </c>
      <c r="J210" s="3" t="s">
        <v>32</v>
      </c>
      <c r="K210" s="3"/>
    </row>
    <row r="211" spans="1:11" ht="57.6" x14ac:dyDescent="0.3">
      <c r="A211" s="3" t="s">
        <v>583</v>
      </c>
      <c r="B211" s="3" t="str">
        <f>"035947011"</f>
        <v>035947011</v>
      </c>
      <c r="C211" s="3" t="s">
        <v>584</v>
      </c>
      <c r="D211" s="3" t="s">
        <v>585</v>
      </c>
      <c r="E211" s="3" t="s">
        <v>586</v>
      </c>
      <c r="F211" s="2">
        <v>42976</v>
      </c>
      <c r="G211" s="2"/>
      <c r="H211" s="280" t="s">
        <v>26</v>
      </c>
      <c r="I211" s="281" t="s">
        <v>31</v>
      </c>
      <c r="J211" s="3" t="s">
        <v>32</v>
      </c>
      <c r="K211" s="3"/>
    </row>
    <row r="212" spans="1:11" ht="72" x14ac:dyDescent="0.3">
      <c r="A212" s="3" t="s">
        <v>587</v>
      </c>
      <c r="B212" s="3" t="str">
        <f>"038917035"</f>
        <v>038917035</v>
      </c>
      <c r="C212" s="3" t="s">
        <v>588</v>
      </c>
      <c r="D212" s="3" t="s">
        <v>589</v>
      </c>
      <c r="E212" s="3" t="s">
        <v>590</v>
      </c>
      <c r="F212" s="2">
        <v>43864</v>
      </c>
      <c r="G212" s="2">
        <v>43905</v>
      </c>
      <c r="H212" s="282" t="s">
        <v>16</v>
      </c>
      <c r="I212" s="3" t="s">
        <v>334</v>
      </c>
      <c r="J212" s="3" t="s">
        <v>32</v>
      </c>
      <c r="K212" s="3"/>
    </row>
    <row r="213" spans="1:11" ht="43.2" x14ac:dyDescent="0.3">
      <c r="A213" s="3" t="s">
        <v>591</v>
      </c>
      <c r="B213" s="3" t="str">
        <f>"034459026"</f>
        <v>034459026</v>
      </c>
      <c r="C213" s="3" t="s">
        <v>592</v>
      </c>
      <c r="D213" s="3" t="s">
        <v>593</v>
      </c>
      <c r="E213" s="3" t="s">
        <v>216</v>
      </c>
      <c r="F213" s="2">
        <v>43902</v>
      </c>
      <c r="G213" s="2"/>
      <c r="H213" s="283" t="s">
        <v>26</v>
      </c>
      <c r="I213" s="3" t="s">
        <v>20</v>
      </c>
      <c r="J213" s="3" t="s">
        <v>51</v>
      </c>
      <c r="K213" s="3" t="s">
        <v>594</v>
      </c>
    </row>
    <row r="214" spans="1:11" ht="57.6" x14ac:dyDescent="0.3">
      <c r="A214" s="3" t="s">
        <v>595</v>
      </c>
      <c r="B214" s="3" t="str">
        <f>"031849019"</f>
        <v>031849019</v>
      </c>
      <c r="C214" s="3" t="s">
        <v>596</v>
      </c>
      <c r="D214" s="3" t="s">
        <v>597</v>
      </c>
      <c r="E214" s="3" t="s">
        <v>598</v>
      </c>
      <c r="F214" s="2">
        <v>43472</v>
      </c>
      <c r="G214" s="2"/>
      <c r="H214" s="284" t="s">
        <v>16</v>
      </c>
      <c r="I214" s="285" t="s">
        <v>31</v>
      </c>
      <c r="J214" s="3" t="s">
        <v>32</v>
      </c>
      <c r="K214" s="3"/>
    </row>
    <row r="215" spans="1:11" ht="72" x14ac:dyDescent="0.3">
      <c r="A215" s="3" t="s">
        <v>599</v>
      </c>
      <c r="B215" s="3" t="str">
        <f>"028373025"</f>
        <v>028373025</v>
      </c>
      <c r="C215" s="3" t="s">
        <v>328</v>
      </c>
      <c r="D215" s="3" t="s">
        <v>329</v>
      </c>
      <c r="E215" s="3" t="s">
        <v>600</v>
      </c>
      <c r="F215" s="2">
        <v>43465</v>
      </c>
      <c r="G215" s="2"/>
      <c r="H215" s="286" t="s">
        <v>26</v>
      </c>
      <c r="I215" s="3" t="s">
        <v>20</v>
      </c>
      <c r="J215" s="3" t="s">
        <v>32</v>
      </c>
      <c r="K215" s="3"/>
    </row>
    <row r="216" spans="1:11" ht="57.6" x14ac:dyDescent="0.3">
      <c r="A216" s="3" t="s">
        <v>601</v>
      </c>
      <c r="B216" s="3" t="str">
        <f>"025377033"</f>
        <v>025377033</v>
      </c>
      <c r="C216" s="3" t="s">
        <v>602</v>
      </c>
      <c r="D216" s="3" t="s">
        <v>603</v>
      </c>
      <c r="E216" s="3" t="s">
        <v>116</v>
      </c>
      <c r="F216" s="2">
        <v>44117</v>
      </c>
      <c r="G216" s="2">
        <v>44165</v>
      </c>
      <c r="H216" s="287" t="s">
        <v>16</v>
      </c>
      <c r="I216" s="3" t="s">
        <v>17</v>
      </c>
      <c r="J216" s="3" t="s">
        <v>32</v>
      </c>
      <c r="K216" s="3"/>
    </row>
    <row r="217" spans="1:11" ht="86.4" x14ac:dyDescent="0.3">
      <c r="A217" s="3" t="s">
        <v>604</v>
      </c>
      <c r="B217" s="3" t="str">
        <f>"025284011"</f>
        <v>025284011</v>
      </c>
      <c r="C217" s="3" t="s">
        <v>605</v>
      </c>
      <c r="D217" s="3" t="s">
        <v>606</v>
      </c>
      <c r="E217" s="3" t="s">
        <v>607</v>
      </c>
      <c r="F217" s="2">
        <v>44089</v>
      </c>
      <c r="G217" s="2">
        <v>44317</v>
      </c>
      <c r="H217" s="288" t="s">
        <v>26</v>
      </c>
      <c r="I217" s="3" t="s">
        <v>20</v>
      </c>
      <c r="J217" s="3" t="s">
        <v>18</v>
      </c>
      <c r="K217" s="3"/>
    </row>
    <row r="218" spans="1:11" ht="86.4" x14ac:dyDescent="0.3">
      <c r="A218" s="3" t="s">
        <v>604</v>
      </c>
      <c r="B218" s="3" t="str">
        <f>"025284023"</f>
        <v>025284023</v>
      </c>
      <c r="C218" s="3" t="s">
        <v>605</v>
      </c>
      <c r="D218" s="3" t="s">
        <v>608</v>
      </c>
      <c r="E218" s="3" t="s">
        <v>607</v>
      </c>
      <c r="F218" s="2">
        <v>43983</v>
      </c>
      <c r="G218" s="2">
        <v>44317</v>
      </c>
      <c r="H218" s="289" t="s">
        <v>26</v>
      </c>
      <c r="I218" s="3" t="s">
        <v>20</v>
      </c>
      <c r="J218" s="3" t="s">
        <v>18</v>
      </c>
      <c r="K218" s="3"/>
    </row>
    <row r="219" spans="1:11" ht="86.4" x14ac:dyDescent="0.3">
      <c r="A219" s="3" t="s">
        <v>604</v>
      </c>
      <c r="B219" s="3" t="str">
        <f>"025284035"</f>
        <v>025284035</v>
      </c>
      <c r="C219" s="3" t="s">
        <v>605</v>
      </c>
      <c r="D219" s="3" t="s">
        <v>609</v>
      </c>
      <c r="E219" s="3" t="s">
        <v>607</v>
      </c>
      <c r="F219" s="2">
        <v>44044</v>
      </c>
      <c r="G219" s="2">
        <v>44317</v>
      </c>
      <c r="H219" s="290" t="s">
        <v>26</v>
      </c>
      <c r="I219" s="3" t="s">
        <v>20</v>
      </c>
      <c r="J219" s="3" t="s">
        <v>18</v>
      </c>
      <c r="K219" s="3"/>
    </row>
    <row r="220" spans="1:11" ht="72" x14ac:dyDescent="0.3">
      <c r="A220" s="3" t="s">
        <v>610</v>
      </c>
      <c r="B220" s="3" t="str">
        <f>"038937088"</f>
        <v>038937088</v>
      </c>
      <c r="C220" s="3" t="s">
        <v>611</v>
      </c>
      <c r="D220" s="3" t="s">
        <v>612</v>
      </c>
      <c r="E220" s="3" t="s">
        <v>613</v>
      </c>
      <c r="F220" s="2">
        <v>44132</v>
      </c>
      <c r="G220" s="2">
        <v>44144</v>
      </c>
      <c r="H220" s="291" t="s">
        <v>16</v>
      </c>
      <c r="I220" s="3" t="s">
        <v>467</v>
      </c>
      <c r="J220" s="3" t="s">
        <v>32</v>
      </c>
      <c r="K220" s="3"/>
    </row>
    <row r="221" spans="1:11" ht="72" x14ac:dyDescent="0.3">
      <c r="A221" s="3" t="s">
        <v>614</v>
      </c>
      <c r="B221" s="3" t="str">
        <f>"041272016"</f>
        <v>041272016</v>
      </c>
      <c r="C221" s="3" t="s">
        <v>615</v>
      </c>
      <c r="D221" s="3" t="s">
        <v>616</v>
      </c>
      <c r="E221" s="3" t="s">
        <v>617</v>
      </c>
      <c r="F221" s="2">
        <v>43222</v>
      </c>
      <c r="G221" s="2"/>
      <c r="H221" s="292" t="s">
        <v>16</v>
      </c>
      <c r="I221" s="293" t="s">
        <v>73</v>
      </c>
      <c r="J221" s="3" t="s">
        <v>51</v>
      </c>
      <c r="K221" s="3"/>
    </row>
    <row r="222" spans="1:11" ht="57.6" x14ac:dyDescent="0.3">
      <c r="A222" s="3" t="s">
        <v>618</v>
      </c>
      <c r="B222" s="3" t="str">
        <f>"027443011"</f>
        <v>027443011</v>
      </c>
      <c r="C222" s="3" t="s">
        <v>619</v>
      </c>
      <c r="D222" s="3" t="s">
        <v>620</v>
      </c>
      <c r="E222" s="3" t="s">
        <v>116</v>
      </c>
      <c r="F222" s="2">
        <v>44109</v>
      </c>
      <c r="G222" s="2">
        <v>44165</v>
      </c>
      <c r="H222" s="294" t="s">
        <v>26</v>
      </c>
      <c r="I222" s="3" t="s">
        <v>20</v>
      </c>
      <c r="J222" s="3" t="s">
        <v>32</v>
      </c>
      <c r="K222" s="3"/>
    </row>
    <row r="223" spans="1:11" ht="57.6" x14ac:dyDescent="0.3">
      <c r="A223" s="3" t="s">
        <v>621</v>
      </c>
      <c r="B223" s="3" t="str">
        <f>"012048043"</f>
        <v>012048043</v>
      </c>
      <c r="C223" s="3" t="s">
        <v>622</v>
      </c>
      <c r="D223" s="3" t="s">
        <v>623</v>
      </c>
      <c r="E223" s="3" t="s">
        <v>77</v>
      </c>
      <c r="F223" s="2">
        <v>43995</v>
      </c>
      <c r="G223" s="2">
        <v>44165</v>
      </c>
      <c r="H223" s="295" t="s">
        <v>16</v>
      </c>
      <c r="I223" s="3" t="s">
        <v>20</v>
      </c>
      <c r="J223" s="3" t="s">
        <v>32</v>
      </c>
      <c r="K223" s="3"/>
    </row>
    <row r="224" spans="1:11" ht="57.6" x14ac:dyDescent="0.3">
      <c r="A224" s="3" t="s">
        <v>624</v>
      </c>
      <c r="B224" s="3" t="str">
        <f>"025306010"</f>
        <v>025306010</v>
      </c>
      <c r="C224" s="3" t="s">
        <v>625</v>
      </c>
      <c r="D224" s="3" t="s">
        <v>626</v>
      </c>
      <c r="E224" s="3" t="s">
        <v>260</v>
      </c>
      <c r="F224" s="2">
        <v>44104</v>
      </c>
      <c r="G224" s="2">
        <v>44196</v>
      </c>
      <c r="H224" s="296" t="s">
        <v>16</v>
      </c>
      <c r="I224" s="3" t="s">
        <v>627</v>
      </c>
      <c r="J224" s="3" t="s">
        <v>32</v>
      </c>
      <c r="K224" s="3"/>
    </row>
    <row r="225" spans="1:11" ht="43.2" x14ac:dyDescent="0.3">
      <c r="A225" s="3" t="s">
        <v>628</v>
      </c>
      <c r="B225" s="3" t="str">
        <f>"022437014"</f>
        <v>022437014</v>
      </c>
      <c r="C225" s="3" t="s">
        <v>629</v>
      </c>
      <c r="D225" s="3" t="s">
        <v>630</v>
      </c>
      <c r="E225" s="3" t="s">
        <v>631</v>
      </c>
      <c r="F225" s="2">
        <v>43159</v>
      </c>
      <c r="G225" s="2"/>
      <c r="H225" s="297" t="s">
        <v>16</v>
      </c>
      <c r="I225" s="298" t="s">
        <v>73</v>
      </c>
      <c r="J225" s="3" t="s">
        <v>51</v>
      </c>
      <c r="K225" s="3"/>
    </row>
    <row r="226" spans="1:11" ht="57.6" x14ac:dyDescent="0.3">
      <c r="A226" s="3" t="s">
        <v>632</v>
      </c>
      <c r="B226" s="3" t="str">
        <f>"027683046"</f>
        <v>027683046</v>
      </c>
      <c r="C226" s="3" t="s">
        <v>633</v>
      </c>
      <c r="D226" s="3" t="s">
        <v>634</v>
      </c>
      <c r="E226" s="3" t="s">
        <v>635</v>
      </c>
      <c r="F226" s="2">
        <v>44104</v>
      </c>
      <c r="G226" s="2"/>
      <c r="H226" s="299" t="s">
        <v>16</v>
      </c>
      <c r="I226" s="300" t="s">
        <v>73</v>
      </c>
      <c r="J226" s="3" t="s">
        <v>32</v>
      </c>
      <c r="K226" s="3"/>
    </row>
    <row r="227" spans="1:11" ht="57.6" x14ac:dyDescent="0.3">
      <c r="A227" s="3" t="s">
        <v>636</v>
      </c>
      <c r="B227" s="3" t="str">
        <f>"043868025"</f>
        <v>043868025</v>
      </c>
      <c r="C227" s="3" t="s">
        <v>637</v>
      </c>
      <c r="D227" s="3" t="s">
        <v>638</v>
      </c>
      <c r="E227" s="3" t="s">
        <v>639</v>
      </c>
      <c r="F227" s="2">
        <v>43616</v>
      </c>
      <c r="G227" s="2">
        <v>43987</v>
      </c>
      <c r="H227" s="301" t="s">
        <v>16</v>
      </c>
      <c r="I227" s="3" t="s">
        <v>17</v>
      </c>
      <c r="J227" s="3" t="s">
        <v>32</v>
      </c>
      <c r="K227" s="3" t="s">
        <v>29</v>
      </c>
    </row>
    <row r="228" spans="1:11" ht="57.6" x14ac:dyDescent="0.3">
      <c r="A228" s="3" t="s">
        <v>640</v>
      </c>
      <c r="B228" s="3" t="str">
        <f>"016805018"</f>
        <v>016805018</v>
      </c>
      <c r="C228" s="3" t="s">
        <v>641</v>
      </c>
      <c r="D228" s="3" t="s">
        <v>642</v>
      </c>
      <c r="E228" s="3" t="s">
        <v>368</v>
      </c>
      <c r="F228" s="2">
        <v>43799</v>
      </c>
      <c r="G228" s="2"/>
      <c r="H228" s="302" t="s">
        <v>16</v>
      </c>
      <c r="I228" s="303" t="s">
        <v>31</v>
      </c>
      <c r="J228" s="3" t="s">
        <v>32</v>
      </c>
      <c r="K228" s="3"/>
    </row>
    <row r="229" spans="1:11" ht="57.6" x14ac:dyDescent="0.3">
      <c r="A229" s="3" t="s">
        <v>640</v>
      </c>
      <c r="B229" s="3" t="str">
        <f>"016805020"</f>
        <v>016805020</v>
      </c>
      <c r="C229" s="3" t="s">
        <v>641</v>
      </c>
      <c r="D229" s="3" t="s">
        <v>643</v>
      </c>
      <c r="E229" s="3" t="s">
        <v>368</v>
      </c>
      <c r="F229" s="2">
        <v>44002</v>
      </c>
      <c r="G229" s="2"/>
      <c r="H229" s="304" t="s">
        <v>16</v>
      </c>
      <c r="I229" s="305" t="s">
        <v>31</v>
      </c>
      <c r="J229" s="3" t="s">
        <v>32</v>
      </c>
      <c r="K229" s="3"/>
    </row>
    <row r="230" spans="1:11" ht="57.6" x14ac:dyDescent="0.3">
      <c r="A230" s="3" t="s">
        <v>644</v>
      </c>
      <c r="B230" s="3" t="str">
        <f>"033120092"</f>
        <v>033120092</v>
      </c>
      <c r="C230" s="3" t="s">
        <v>645</v>
      </c>
      <c r="D230" s="3" t="s">
        <v>646</v>
      </c>
      <c r="E230" s="3" t="s">
        <v>72</v>
      </c>
      <c r="F230" s="2">
        <v>43799</v>
      </c>
      <c r="G230" s="2"/>
      <c r="H230" s="306" t="s">
        <v>16</v>
      </c>
      <c r="I230" s="3" t="s">
        <v>627</v>
      </c>
      <c r="J230" s="3" t="s">
        <v>32</v>
      </c>
      <c r="K230" s="3"/>
    </row>
    <row r="231" spans="1:11" ht="57.6" x14ac:dyDescent="0.3">
      <c r="A231" s="3" t="s">
        <v>647</v>
      </c>
      <c r="B231" s="3" t="str">
        <f>"011782012"</f>
        <v>011782012</v>
      </c>
      <c r="C231" s="3" t="s">
        <v>648</v>
      </c>
      <c r="D231" s="3" t="s">
        <v>649</v>
      </c>
      <c r="E231" s="3" t="s">
        <v>650</v>
      </c>
      <c r="F231" s="2">
        <v>43952</v>
      </c>
      <c r="G231" s="2">
        <v>43989</v>
      </c>
      <c r="H231" s="307" t="s">
        <v>16</v>
      </c>
      <c r="I231" s="3" t="s">
        <v>27</v>
      </c>
      <c r="J231" s="3" t="s">
        <v>32</v>
      </c>
      <c r="K231" s="3" t="s">
        <v>651</v>
      </c>
    </row>
    <row r="232" spans="1:11" ht="57.6" x14ac:dyDescent="0.3">
      <c r="A232" s="3" t="s">
        <v>652</v>
      </c>
      <c r="B232" s="3" t="str">
        <f>"030806018"</f>
        <v>030806018</v>
      </c>
      <c r="C232" s="3" t="s">
        <v>653</v>
      </c>
      <c r="D232" s="3" t="s">
        <v>654</v>
      </c>
      <c r="E232" s="3" t="s">
        <v>548</v>
      </c>
      <c r="F232" s="2">
        <v>42853</v>
      </c>
      <c r="G232" s="2"/>
      <c r="H232" s="308" t="s">
        <v>16</v>
      </c>
      <c r="I232" s="3" t="s">
        <v>20</v>
      </c>
      <c r="J232" s="3" t="s">
        <v>32</v>
      </c>
      <c r="K232" s="3"/>
    </row>
    <row r="233" spans="1:11" ht="57.6" x14ac:dyDescent="0.3">
      <c r="A233" s="3" t="s">
        <v>655</v>
      </c>
      <c r="B233" s="3" t="str">
        <f>"033241011"</f>
        <v>033241011</v>
      </c>
      <c r="C233" s="3" t="s">
        <v>656</v>
      </c>
      <c r="D233" s="3" t="s">
        <v>657</v>
      </c>
      <c r="E233" s="3" t="s">
        <v>658</v>
      </c>
      <c r="F233" s="2">
        <v>43299</v>
      </c>
      <c r="G233" s="2"/>
      <c r="H233" s="309" t="s">
        <v>16</v>
      </c>
      <c r="I233" s="310" t="s">
        <v>31</v>
      </c>
      <c r="J233" s="3" t="s">
        <v>32</v>
      </c>
      <c r="K233" s="3"/>
    </row>
    <row r="234" spans="1:11" ht="57.6" x14ac:dyDescent="0.3">
      <c r="A234" s="3" t="s">
        <v>659</v>
      </c>
      <c r="B234" s="3" t="str">
        <f>"025540016"</f>
        <v>025540016</v>
      </c>
      <c r="C234" s="3" t="s">
        <v>660</v>
      </c>
      <c r="D234" s="3" t="s">
        <v>661</v>
      </c>
      <c r="E234" s="3" t="s">
        <v>662</v>
      </c>
      <c r="F234" s="2">
        <v>44144</v>
      </c>
      <c r="G234" s="2"/>
      <c r="H234" s="311" t="s">
        <v>16</v>
      </c>
      <c r="I234" s="3" t="s">
        <v>104</v>
      </c>
      <c r="J234" s="3" t="s">
        <v>32</v>
      </c>
      <c r="K234" s="3"/>
    </row>
    <row r="235" spans="1:11" ht="57.6" x14ac:dyDescent="0.3">
      <c r="A235" s="3" t="s">
        <v>659</v>
      </c>
      <c r="B235" s="3" t="str">
        <f>"025540028"</f>
        <v>025540028</v>
      </c>
      <c r="C235" s="3" t="s">
        <v>660</v>
      </c>
      <c r="D235" s="3" t="s">
        <v>663</v>
      </c>
      <c r="E235" s="3" t="s">
        <v>662</v>
      </c>
      <c r="F235" s="2">
        <v>44144</v>
      </c>
      <c r="G235" s="2"/>
      <c r="H235" s="312" t="s">
        <v>16</v>
      </c>
      <c r="I235" s="3" t="s">
        <v>104</v>
      </c>
      <c r="J235" s="3" t="s">
        <v>32</v>
      </c>
      <c r="K235" s="3"/>
    </row>
    <row r="236" spans="1:11" ht="72" x14ac:dyDescent="0.3">
      <c r="A236" s="3" t="s">
        <v>664</v>
      </c>
      <c r="B236" s="3" t="str">
        <f>"027154032"</f>
        <v>027154032</v>
      </c>
      <c r="C236" s="3" t="s">
        <v>328</v>
      </c>
      <c r="D236" s="3" t="s">
        <v>665</v>
      </c>
      <c r="E236" s="3" t="s">
        <v>245</v>
      </c>
      <c r="F236" s="2">
        <v>43474</v>
      </c>
      <c r="G236" s="2"/>
      <c r="H236" s="313" t="s">
        <v>26</v>
      </c>
      <c r="I236" s="314" t="s">
        <v>246</v>
      </c>
      <c r="J236" s="3" t="s">
        <v>32</v>
      </c>
      <c r="K236" s="3"/>
    </row>
    <row r="237" spans="1:11" ht="72" x14ac:dyDescent="0.3">
      <c r="A237" s="3" t="s">
        <v>664</v>
      </c>
      <c r="B237" s="3" t="str">
        <f>"027154044"</f>
        <v>027154044</v>
      </c>
      <c r="C237" s="3" t="s">
        <v>328</v>
      </c>
      <c r="D237" s="3" t="s">
        <v>666</v>
      </c>
      <c r="E237" s="3" t="s">
        <v>245</v>
      </c>
      <c r="F237" s="2">
        <v>43474</v>
      </c>
      <c r="G237" s="2"/>
      <c r="H237" s="315" t="s">
        <v>26</v>
      </c>
      <c r="I237" s="316" t="s">
        <v>246</v>
      </c>
      <c r="J237" s="3" t="s">
        <v>32</v>
      </c>
      <c r="K237" s="3"/>
    </row>
    <row r="238" spans="1:11" ht="72" x14ac:dyDescent="0.3">
      <c r="A238" s="3" t="s">
        <v>664</v>
      </c>
      <c r="B238" s="3" t="str">
        <f>"027154057"</f>
        <v>027154057</v>
      </c>
      <c r="C238" s="3" t="s">
        <v>328</v>
      </c>
      <c r="D238" s="3" t="s">
        <v>667</v>
      </c>
      <c r="E238" s="3" t="s">
        <v>245</v>
      </c>
      <c r="F238" s="2">
        <v>43474</v>
      </c>
      <c r="G238" s="2"/>
      <c r="H238" s="317" t="s">
        <v>16</v>
      </c>
      <c r="I238" s="318" t="s">
        <v>246</v>
      </c>
      <c r="J238" s="3" t="s">
        <v>32</v>
      </c>
      <c r="K238" s="3"/>
    </row>
    <row r="239" spans="1:11" ht="86.4" x14ac:dyDescent="0.3">
      <c r="A239" s="3" t="s">
        <v>668</v>
      </c>
      <c r="B239" s="3" t="str">
        <f>"028249023"</f>
        <v>028249023</v>
      </c>
      <c r="C239" s="3" t="s">
        <v>530</v>
      </c>
      <c r="D239" s="3" t="s">
        <v>669</v>
      </c>
      <c r="E239" s="3" t="s">
        <v>77</v>
      </c>
      <c r="F239" s="2">
        <v>43139</v>
      </c>
      <c r="G239" s="2"/>
      <c r="H239" s="319" t="s">
        <v>26</v>
      </c>
      <c r="I239" s="320" t="s">
        <v>31</v>
      </c>
      <c r="J239" s="3" t="s">
        <v>32</v>
      </c>
      <c r="K239" s="3"/>
    </row>
    <row r="240" spans="1:11" ht="57.6" x14ac:dyDescent="0.3">
      <c r="A240" s="3" t="s">
        <v>668</v>
      </c>
      <c r="B240" s="3" t="str">
        <f>"028249050"</f>
        <v>028249050</v>
      </c>
      <c r="C240" s="3" t="s">
        <v>530</v>
      </c>
      <c r="D240" s="3" t="s">
        <v>670</v>
      </c>
      <c r="E240" s="3" t="s">
        <v>77</v>
      </c>
      <c r="F240" s="2">
        <v>43139</v>
      </c>
      <c r="G240" s="2"/>
      <c r="H240" s="321" t="s">
        <v>26</v>
      </c>
      <c r="I240" s="322" t="s">
        <v>31</v>
      </c>
      <c r="J240" s="3" t="s">
        <v>32</v>
      </c>
      <c r="K240" s="3"/>
    </row>
    <row r="241" spans="1:11" ht="57.6" x14ac:dyDescent="0.3">
      <c r="A241" s="3" t="s">
        <v>668</v>
      </c>
      <c r="B241" s="3" t="str">
        <f>"028249062"</f>
        <v>028249062</v>
      </c>
      <c r="C241" s="3" t="s">
        <v>530</v>
      </c>
      <c r="D241" s="3" t="s">
        <v>671</v>
      </c>
      <c r="E241" s="3" t="s">
        <v>77</v>
      </c>
      <c r="F241" s="2">
        <v>43139</v>
      </c>
      <c r="G241" s="2"/>
      <c r="H241" s="323" t="s">
        <v>26</v>
      </c>
      <c r="I241" s="324" t="s">
        <v>31</v>
      </c>
      <c r="J241" s="3" t="s">
        <v>32</v>
      </c>
      <c r="K241" s="3"/>
    </row>
    <row r="242" spans="1:11" ht="57.6" x14ac:dyDescent="0.3">
      <c r="A242" s="3" t="s">
        <v>672</v>
      </c>
      <c r="B242" s="3" t="str">
        <f>"036774038"</f>
        <v>036774038</v>
      </c>
      <c r="C242" s="3" t="s">
        <v>673</v>
      </c>
      <c r="D242" s="3" t="s">
        <v>674</v>
      </c>
      <c r="E242" s="3" t="s">
        <v>675</v>
      </c>
      <c r="F242" s="2">
        <v>43221</v>
      </c>
      <c r="G242" s="2"/>
      <c r="H242" s="325" t="s">
        <v>26</v>
      </c>
      <c r="I242" s="326" t="s">
        <v>31</v>
      </c>
      <c r="J242" s="3" t="s">
        <v>32</v>
      </c>
      <c r="K242" s="3"/>
    </row>
    <row r="243" spans="1:11" ht="57.6" x14ac:dyDescent="0.3">
      <c r="A243" s="3" t="s">
        <v>676</v>
      </c>
      <c r="B243" s="3" t="str">
        <f>"035864180"</f>
        <v>035864180</v>
      </c>
      <c r="C243" s="3" t="s">
        <v>673</v>
      </c>
      <c r="D243" s="3" t="s">
        <v>677</v>
      </c>
      <c r="E243" s="3" t="s">
        <v>678</v>
      </c>
      <c r="F243" s="2">
        <v>43434</v>
      </c>
      <c r="G243" s="2">
        <v>44469</v>
      </c>
      <c r="H243" s="327" t="s">
        <v>16</v>
      </c>
      <c r="I243" s="3" t="s">
        <v>475</v>
      </c>
      <c r="J243" s="3" t="s">
        <v>32</v>
      </c>
      <c r="K243" s="3"/>
    </row>
    <row r="244" spans="1:11" ht="57.6" x14ac:dyDescent="0.3">
      <c r="A244" s="3" t="s">
        <v>679</v>
      </c>
      <c r="B244" s="3" t="str">
        <f>"002922060"</f>
        <v>002922060</v>
      </c>
      <c r="C244" s="3" t="s">
        <v>680</v>
      </c>
      <c r="D244" s="3" t="s">
        <v>681</v>
      </c>
      <c r="E244" s="3" t="s">
        <v>25</v>
      </c>
      <c r="F244" s="2">
        <v>43362</v>
      </c>
      <c r="G244" s="2">
        <v>44227</v>
      </c>
      <c r="H244" s="328" t="s">
        <v>16</v>
      </c>
      <c r="I244" s="3" t="s">
        <v>20</v>
      </c>
      <c r="J244" s="3" t="s">
        <v>32</v>
      </c>
      <c r="K244" s="3"/>
    </row>
    <row r="245" spans="1:11" ht="57.6" x14ac:dyDescent="0.3">
      <c r="A245" s="3" t="s">
        <v>682</v>
      </c>
      <c r="B245" s="3" t="str">
        <f>"022488062"</f>
        <v>022488062</v>
      </c>
      <c r="C245" s="3" t="s">
        <v>683</v>
      </c>
      <c r="D245" s="3" t="s">
        <v>684</v>
      </c>
      <c r="E245" s="3" t="s">
        <v>220</v>
      </c>
      <c r="F245" s="2">
        <v>43434</v>
      </c>
      <c r="G245" s="2"/>
      <c r="H245" s="329" t="s">
        <v>16</v>
      </c>
      <c r="I245" s="3" t="s">
        <v>334</v>
      </c>
      <c r="J245" s="3" t="s">
        <v>32</v>
      </c>
      <c r="K245" s="3"/>
    </row>
    <row r="246" spans="1:11" ht="86.4" x14ac:dyDescent="0.3">
      <c r="A246" s="3" t="s">
        <v>685</v>
      </c>
      <c r="B246" s="3" t="str">
        <f>"038558019"</f>
        <v>038558019</v>
      </c>
      <c r="C246" s="3" t="s">
        <v>686</v>
      </c>
      <c r="D246" s="3" t="s">
        <v>687</v>
      </c>
      <c r="E246" s="3" t="s">
        <v>554</v>
      </c>
      <c r="F246" s="2">
        <v>42830</v>
      </c>
      <c r="G246" s="2"/>
      <c r="H246" s="330" t="s">
        <v>26</v>
      </c>
      <c r="I246" s="3" t="s">
        <v>20</v>
      </c>
      <c r="J246" s="3" t="s">
        <v>32</v>
      </c>
      <c r="K246" s="3"/>
    </row>
    <row r="247" spans="1:11" ht="57.6" x14ac:dyDescent="0.3">
      <c r="A247" s="3" t="s">
        <v>685</v>
      </c>
      <c r="B247" s="3" t="str">
        <f>"038558021"</f>
        <v>038558021</v>
      </c>
      <c r="C247" s="3" t="s">
        <v>686</v>
      </c>
      <c r="D247" s="3" t="s">
        <v>688</v>
      </c>
      <c r="E247" s="3" t="s">
        <v>554</v>
      </c>
      <c r="F247" s="2">
        <v>42830</v>
      </c>
      <c r="G247" s="2"/>
      <c r="H247" s="331" t="s">
        <v>26</v>
      </c>
      <c r="I247" s="3" t="s">
        <v>20</v>
      </c>
      <c r="J247" s="3" t="s">
        <v>32</v>
      </c>
      <c r="K247" s="3"/>
    </row>
    <row r="248" spans="1:11" ht="57.6" x14ac:dyDescent="0.3">
      <c r="A248" s="3" t="s">
        <v>689</v>
      </c>
      <c r="B248" s="3" t="str">
        <f>"041757016"</f>
        <v>041757016</v>
      </c>
      <c r="C248" s="3" t="s">
        <v>328</v>
      </c>
      <c r="D248" s="3" t="s">
        <v>690</v>
      </c>
      <c r="E248" s="3" t="s">
        <v>691</v>
      </c>
      <c r="F248" s="2">
        <v>42913</v>
      </c>
      <c r="G248" s="2"/>
      <c r="H248" s="332" t="s">
        <v>26</v>
      </c>
      <c r="I248" s="333" t="s">
        <v>73</v>
      </c>
      <c r="J248" s="3" t="s">
        <v>32</v>
      </c>
      <c r="K248" s="3"/>
    </row>
    <row r="249" spans="1:11" ht="57.6" x14ac:dyDescent="0.3">
      <c r="A249" s="3" t="s">
        <v>689</v>
      </c>
      <c r="B249" s="3" t="str">
        <f>"041757028"</f>
        <v>041757028</v>
      </c>
      <c r="C249" s="3" t="s">
        <v>328</v>
      </c>
      <c r="D249" s="3" t="s">
        <v>692</v>
      </c>
      <c r="E249" s="3" t="s">
        <v>691</v>
      </c>
      <c r="F249" s="2">
        <v>42913</v>
      </c>
      <c r="G249" s="2"/>
      <c r="H249" s="334" t="s">
        <v>26</v>
      </c>
      <c r="I249" s="335" t="s">
        <v>73</v>
      </c>
      <c r="J249" s="3" t="s">
        <v>32</v>
      </c>
      <c r="K249" s="3"/>
    </row>
    <row r="250" spans="1:11" ht="86.4" x14ac:dyDescent="0.3">
      <c r="A250" s="3" t="s">
        <v>693</v>
      </c>
      <c r="B250" s="3" t="str">
        <f>"025283019"</f>
        <v>025283019</v>
      </c>
      <c r="C250" s="3" t="s">
        <v>605</v>
      </c>
      <c r="D250" s="3" t="s">
        <v>606</v>
      </c>
      <c r="E250" s="3" t="s">
        <v>694</v>
      </c>
      <c r="F250" s="2">
        <v>44075</v>
      </c>
      <c r="G250" s="2">
        <v>44316</v>
      </c>
      <c r="H250" s="336" t="s">
        <v>26</v>
      </c>
      <c r="I250" s="3" t="s">
        <v>20</v>
      </c>
      <c r="J250" s="3" t="s">
        <v>18</v>
      </c>
      <c r="K250" s="3"/>
    </row>
    <row r="251" spans="1:11" ht="86.4" x14ac:dyDescent="0.3">
      <c r="A251" s="3" t="s">
        <v>693</v>
      </c>
      <c r="B251" s="3" t="str">
        <f>"025283021"</f>
        <v>025283021</v>
      </c>
      <c r="C251" s="3" t="s">
        <v>605</v>
      </c>
      <c r="D251" s="3" t="s">
        <v>608</v>
      </c>
      <c r="E251" s="3" t="s">
        <v>694</v>
      </c>
      <c r="F251" s="2">
        <v>44075</v>
      </c>
      <c r="G251" s="2">
        <v>44316</v>
      </c>
      <c r="H251" s="337" t="s">
        <v>26</v>
      </c>
      <c r="I251" s="3" t="s">
        <v>20</v>
      </c>
      <c r="J251" s="3" t="s">
        <v>18</v>
      </c>
      <c r="K251" s="3"/>
    </row>
    <row r="252" spans="1:11" ht="86.4" x14ac:dyDescent="0.3">
      <c r="A252" s="3" t="s">
        <v>693</v>
      </c>
      <c r="B252" s="3" t="str">
        <f>"025283045"</f>
        <v>025283045</v>
      </c>
      <c r="C252" s="3" t="s">
        <v>605</v>
      </c>
      <c r="D252" s="3" t="s">
        <v>609</v>
      </c>
      <c r="E252" s="3" t="s">
        <v>694</v>
      </c>
      <c r="F252" s="2">
        <v>44075</v>
      </c>
      <c r="G252" s="2">
        <v>44316</v>
      </c>
      <c r="H252" s="338" t="s">
        <v>26</v>
      </c>
      <c r="I252" s="3" t="s">
        <v>20</v>
      </c>
      <c r="J252" s="3" t="s">
        <v>18</v>
      </c>
      <c r="K252" s="3"/>
    </row>
    <row r="253" spans="1:11" ht="57.6" x14ac:dyDescent="0.3">
      <c r="A253" s="3" t="s">
        <v>695</v>
      </c>
      <c r="B253" s="3" t="str">
        <f>"026632036"</f>
        <v>026632036</v>
      </c>
      <c r="C253" s="3" t="s">
        <v>696</v>
      </c>
      <c r="D253" s="3" t="s">
        <v>697</v>
      </c>
      <c r="E253" s="3" t="s">
        <v>116</v>
      </c>
      <c r="F253" s="2">
        <v>43349</v>
      </c>
      <c r="G253" s="2"/>
      <c r="H253" s="339" t="s">
        <v>16</v>
      </c>
      <c r="I253" s="3" t="s">
        <v>20</v>
      </c>
      <c r="J253" s="3" t="s">
        <v>32</v>
      </c>
      <c r="K253" s="3"/>
    </row>
    <row r="254" spans="1:11" ht="72" x14ac:dyDescent="0.3">
      <c r="A254" s="3" t="s">
        <v>698</v>
      </c>
      <c r="B254" s="3" t="str">
        <f>"027939038"</f>
        <v>027939038</v>
      </c>
      <c r="C254" s="3" t="s">
        <v>454</v>
      </c>
      <c r="D254" s="3" t="s">
        <v>187</v>
      </c>
      <c r="E254" s="3" t="s">
        <v>116</v>
      </c>
      <c r="F254" s="2">
        <v>43794</v>
      </c>
      <c r="G254" s="2"/>
      <c r="H254" s="340" t="s">
        <v>26</v>
      </c>
      <c r="I254" s="341" t="s">
        <v>31</v>
      </c>
      <c r="J254" s="3" t="s">
        <v>32</v>
      </c>
      <c r="K254" s="3"/>
    </row>
    <row r="255" spans="1:11" ht="57.6" x14ac:dyDescent="0.3">
      <c r="A255" s="3" t="s">
        <v>699</v>
      </c>
      <c r="B255" s="3" t="str">
        <f>"028850016"</f>
        <v>028850016</v>
      </c>
      <c r="C255" s="3" t="s">
        <v>328</v>
      </c>
      <c r="D255" s="3" t="s">
        <v>700</v>
      </c>
      <c r="E255" s="3" t="s">
        <v>245</v>
      </c>
      <c r="F255" s="2">
        <v>43474</v>
      </c>
      <c r="G255" s="2"/>
      <c r="H255" s="342" t="s">
        <v>16</v>
      </c>
      <c r="I255" s="343" t="s">
        <v>246</v>
      </c>
      <c r="J255" s="3" t="s">
        <v>32</v>
      </c>
      <c r="K255" s="3"/>
    </row>
    <row r="256" spans="1:11" ht="57.6" x14ac:dyDescent="0.3">
      <c r="A256" s="3" t="s">
        <v>699</v>
      </c>
      <c r="B256" s="3" t="str">
        <f>"028850028"</f>
        <v>028850028</v>
      </c>
      <c r="C256" s="3" t="s">
        <v>328</v>
      </c>
      <c r="D256" s="3" t="s">
        <v>701</v>
      </c>
      <c r="E256" s="3" t="s">
        <v>245</v>
      </c>
      <c r="F256" s="2">
        <v>43474</v>
      </c>
      <c r="G256" s="2"/>
      <c r="H256" s="344" t="s">
        <v>16</v>
      </c>
      <c r="I256" s="345" t="s">
        <v>246</v>
      </c>
      <c r="J256" s="3" t="s">
        <v>32</v>
      </c>
      <c r="K256" s="3"/>
    </row>
    <row r="257" spans="1:11" ht="57.6" x14ac:dyDescent="0.3">
      <c r="A257" s="3" t="s">
        <v>702</v>
      </c>
      <c r="B257" s="3" t="str">
        <f>"026519013"</f>
        <v>026519013</v>
      </c>
      <c r="C257" s="3" t="s">
        <v>92</v>
      </c>
      <c r="D257" s="3" t="s">
        <v>703</v>
      </c>
      <c r="E257" s="3" t="s">
        <v>55</v>
      </c>
      <c r="F257" s="2">
        <v>43917</v>
      </c>
      <c r="G257" s="2">
        <v>44025</v>
      </c>
      <c r="H257" s="346" t="s">
        <v>26</v>
      </c>
      <c r="I257" s="3" t="s">
        <v>42</v>
      </c>
      <c r="J257" s="3" t="s">
        <v>32</v>
      </c>
      <c r="K257" s="3"/>
    </row>
    <row r="258" spans="1:11" ht="43.2" x14ac:dyDescent="0.3">
      <c r="A258" s="3" t="s">
        <v>702</v>
      </c>
      <c r="B258" s="3" t="str">
        <f>"026519025"</f>
        <v>026519025</v>
      </c>
      <c r="C258" s="3" t="s">
        <v>92</v>
      </c>
      <c r="D258" s="3" t="s">
        <v>704</v>
      </c>
      <c r="E258" s="3" t="s">
        <v>55</v>
      </c>
      <c r="F258" s="2">
        <v>43917</v>
      </c>
      <c r="G258" s="2">
        <v>44015</v>
      </c>
      <c r="H258" s="347" t="s">
        <v>26</v>
      </c>
      <c r="I258" s="3" t="s">
        <v>42</v>
      </c>
      <c r="J258" s="3" t="s">
        <v>51</v>
      </c>
      <c r="K258" s="3"/>
    </row>
    <row r="259" spans="1:11" ht="57.6" x14ac:dyDescent="0.3">
      <c r="A259" s="3" t="s">
        <v>705</v>
      </c>
      <c r="B259" s="3" t="str">
        <f>"042015014"</f>
        <v>042015014</v>
      </c>
      <c r="C259" s="3" t="s">
        <v>706</v>
      </c>
      <c r="D259" s="3" t="s">
        <v>707</v>
      </c>
      <c r="E259" s="3" t="s">
        <v>260</v>
      </c>
      <c r="F259" s="2">
        <v>43745</v>
      </c>
      <c r="G259" s="2">
        <v>43896</v>
      </c>
      <c r="H259" s="348" t="s">
        <v>16</v>
      </c>
      <c r="I259" s="3" t="s">
        <v>20</v>
      </c>
      <c r="J259" s="3" t="s">
        <v>32</v>
      </c>
      <c r="K259" s="3"/>
    </row>
    <row r="260" spans="1:11" ht="72" x14ac:dyDescent="0.3">
      <c r="A260" s="3" t="s">
        <v>708</v>
      </c>
      <c r="B260" s="3" t="str">
        <f>"033014162"</f>
        <v>033014162</v>
      </c>
      <c r="C260" s="3" t="s">
        <v>709</v>
      </c>
      <c r="D260" s="3" t="s">
        <v>710</v>
      </c>
      <c r="E260" s="3" t="s">
        <v>229</v>
      </c>
      <c r="F260" s="2">
        <v>43818</v>
      </c>
      <c r="G260" s="2">
        <v>44196</v>
      </c>
      <c r="H260" s="349" t="s">
        <v>16</v>
      </c>
      <c r="I260" s="3" t="s">
        <v>334</v>
      </c>
      <c r="J260" s="3" t="s">
        <v>32</v>
      </c>
      <c r="K260" s="3"/>
    </row>
    <row r="261" spans="1:11" ht="72" x14ac:dyDescent="0.3">
      <c r="A261" s="3" t="s">
        <v>711</v>
      </c>
      <c r="B261" s="3" t="str">
        <f>"026195091"</f>
        <v>026195091</v>
      </c>
      <c r="C261" s="3" t="s">
        <v>712</v>
      </c>
      <c r="D261" s="3" t="s">
        <v>713</v>
      </c>
      <c r="E261" s="3" t="s">
        <v>163</v>
      </c>
      <c r="F261" s="2">
        <v>43881</v>
      </c>
      <c r="G261" s="2"/>
      <c r="H261" s="350" t="s">
        <v>16</v>
      </c>
      <c r="I261" s="3" t="s">
        <v>20</v>
      </c>
      <c r="J261" s="3" t="s">
        <v>32</v>
      </c>
      <c r="K261" s="3" t="s">
        <v>714</v>
      </c>
    </row>
    <row r="262" spans="1:11" ht="72" x14ac:dyDescent="0.3">
      <c r="A262" s="3" t="s">
        <v>711</v>
      </c>
      <c r="B262" s="3" t="str">
        <f>"026195127"</f>
        <v>026195127</v>
      </c>
      <c r="C262" s="3" t="s">
        <v>712</v>
      </c>
      <c r="D262" s="3" t="s">
        <v>715</v>
      </c>
      <c r="E262" s="3" t="s">
        <v>163</v>
      </c>
      <c r="F262" s="2">
        <v>43881</v>
      </c>
      <c r="G262" s="2"/>
      <c r="H262" s="351" t="s">
        <v>16</v>
      </c>
      <c r="I262" s="3" t="s">
        <v>20</v>
      </c>
      <c r="J262" s="3" t="s">
        <v>32</v>
      </c>
      <c r="K262" s="3" t="s">
        <v>716</v>
      </c>
    </row>
    <row r="263" spans="1:11" ht="72" x14ac:dyDescent="0.3">
      <c r="A263" s="3" t="s">
        <v>711</v>
      </c>
      <c r="B263" s="3" t="str">
        <f>"026195139"</f>
        <v>026195139</v>
      </c>
      <c r="C263" s="3" t="s">
        <v>712</v>
      </c>
      <c r="D263" s="3" t="s">
        <v>717</v>
      </c>
      <c r="E263" s="3" t="s">
        <v>163</v>
      </c>
      <c r="F263" s="2">
        <v>43850</v>
      </c>
      <c r="G263" s="2"/>
      <c r="H263" s="352" t="s">
        <v>16</v>
      </c>
      <c r="I263" s="3" t="s">
        <v>20</v>
      </c>
      <c r="J263" s="3" t="s">
        <v>32</v>
      </c>
      <c r="K263" s="3" t="s">
        <v>718</v>
      </c>
    </row>
    <row r="264" spans="1:11" ht="57.6" x14ac:dyDescent="0.3">
      <c r="A264" s="3" t="s">
        <v>719</v>
      </c>
      <c r="B264" s="3" t="str">
        <f>"023630027"</f>
        <v>023630027</v>
      </c>
      <c r="C264" s="3" t="s">
        <v>720</v>
      </c>
      <c r="D264" s="3" t="s">
        <v>721</v>
      </c>
      <c r="E264" s="3" t="s">
        <v>558</v>
      </c>
      <c r="F264" s="2">
        <v>44053</v>
      </c>
      <c r="G264" s="2"/>
      <c r="H264" s="353" t="s">
        <v>16</v>
      </c>
      <c r="I264" s="354" t="s">
        <v>31</v>
      </c>
      <c r="J264" s="3" t="s">
        <v>32</v>
      </c>
      <c r="K264" s="3"/>
    </row>
    <row r="265" spans="1:11" ht="57.6" x14ac:dyDescent="0.3">
      <c r="A265" s="3" t="s">
        <v>722</v>
      </c>
      <c r="B265" s="3" t="str">
        <f>"024173092"</f>
        <v>024173092</v>
      </c>
      <c r="C265" s="3" t="s">
        <v>720</v>
      </c>
      <c r="D265" s="3" t="s">
        <v>723</v>
      </c>
      <c r="E265" s="3" t="s">
        <v>724</v>
      </c>
      <c r="F265" s="2">
        <v>43643</v>
      </c>
      <c r="G265" s="2">
        <v>44377</v>
      </c>
      <c r="H265" s="355" t="s">
        <v>16</v>
      </c>
      <c r="I265" s="356" t="s">
        <v>73</v>
      </c>
      <c r="J265" s="3" t="s">
        <v>32</v>
      </c>
      <c r="K265" s="3"/>
    </row>
    <row r="266" spans="1:11" ht="57.6" x14ac:dyDescent="0.3">
      <c r="A266" s="3" t="s">
        <v>725</v>
      </c>
      <c r="B266" s="3" t="str">
        <f>"024444111"</f>
        <v>024444111</v>
      </c>
      <c r="C266" s="3" t="s">
        <v>726</v>
      </c>
      <c r="D266" s="3" t="s">
        <v>727</v>
      </c>
      <c r="E266" s="3" t="s">
        <v>728</v>
      </c>
      <c r="F266" s="2">
        <v>43496</v>
      </c>
      <c r="G266" s="2"/>
      <c r="H266" s="357" t="s">
        <v>16</v>
      </c>
      <c r="I266" s="358" t="s">
        <v>31</v>
      </c>
      <c r="J266" s="3" t="s">
        <v>32</v>
      </c>
      <c r="K266" s="3"/>
    </row>
    <row r="267" spans="1:11" ht="57.6" x14ac:dyDescent="0.3">
      <c r="A267" s="3" t="s">
        <v>729</v>
      </c>
      <c r="B267" s="3" t="str">
        <f>"033944024"</f>
        <v>033944024</v>
      </c>
      <c r="C267" s="3" t="s">
        <v>726</v>
      </c>
      <c r="D267" s="3" t="s">
        <v>730</v>
      </c>
      <c r="E267" s="3" t="s">
        <v>728</v>
      </c>
      <c r="F267" s="2">
        <v>43516</v>
      </c>
      <c r="G267" s="2"/>
      <c r="H267" s="359" t="s">
        <v>16</v>
      </c>
      <c r="I267" s="360" t="s">
        <v>31</v>
      </c>
      <c r="J267" s="3" t="s">
        <v>32</v>
      </c>
      <c r="K267" s="3"/>
    </row>
    <row r="268" spans="1:11" ht="57.6" x14ac:dyDescent="0.3">
      <c r="A268" s="3" t="s">
        <v>731</v>
      </c>
      <c r="B268" s="3" t="str">
        <f>"044898017"</f>
        <v>044898017</v>
      </c>
      <c r="C268" s="3" t="s">
        <v>732</v>
      </c>
      <c r="D268" s="3" t="s">
        <v>733</v>
      </c>
      <c r="E268" s="3" t="s">
        <v>519</v>
      </c>
      <c r="F268" s="2">
        <v>44126</v>
      </c>
      <c r="G268" s="2"/>
      <c r="H268" s="361" t="s">
        <v>26</v>
      </c>
      <c r="I268" s="3" t="s">
        <v>734</v>
      </c>
      <c r="J268" s="3" t="s">
        <v>51</v>
      </c>
      <c r="K268" s="3"/>
    </row>
    <row r="269" spans="1:11" ht="57.6" x14ac:dyDescent="0.3">
      <c r="A269" s="3" t="s">
        <v>731</v>
      </c>
      <c r="B269" s="3" t="str">
        <f>"044898029"</f>
        <v>044898029</v>
      </c>
      <c r="C269" s="3" t="s">
        <v>732</v>
      </c>
      <c r="D269" s="3" t="s">
        <v>735</v>
      </c>
      <c r="E269" s="3" t="s">
        <v>519</v>
      </c>
      <c r="F269" s="2">
        <v>44126</v>
      </c>
      <c r="G269" s="2"/>
      <c r="H269" s="362" t="s">
        <v>26</v>
      </c>
      <c r="I269" s="3" t="s">
        <v>42</v>
      </c>
      <c r="J269" s="3" t="s">
        <v>51</v>
      </c>
      <c r="K269" s="3"/>
    </row>
    <row r="270" spans="1:11" ht="57.6" x14ac:dyDescent="0.3">
      <c r="A270" s="3" t="s">
        <v>736</v>
      </c>
      <c r="B270" s="3" t="str">
        <f>"020430029"</f>
        <v>020430029</v>
      </c>
      <c r="C270" s="3" t="s">
        <v>737</v>
      </c>
      <c r="D270" s="3" t="s">
        <v>738</v>
      </c>
      <c r="E270" s="3" t="s">
        <v>163</v>
      </c>
      <c r="F270" s="2">
        <v>44075</v>
      </c>
      <c r="G270" s="2">
        <v>44196</v>
      </c>
      <c r="H270" s="363" t="s">
        <v>16</v>
      </c>
      <c r="I270" s="3" t="s">
        <v>20</v>
      </c>
      <c r="J270" s="3" t="s">
        <v>32</v>
      </c>
      <c r="K270" s="3"/>
    </row>
    <row r="271" spans="1:11" ht="57.6" x14ac:dyDescent="0.3">
      <c r="A271" s="3" t="s">
        <v>739</v>
      </c>
      <c r="B271" s="3" t="str">
        <f>"038928014"</f>
        <v>038928014</v>
      </c>
      <c r="C271" s="3" t="s">
        <v>737</v>
      </c>
      <c r="D271" s="3" t="s">
        <v>740</v>
      </c>
      <c r="E271" s="3" t="s">
        <v>498</v>
      </c>
      <c r="F271" s="2">
        <v>44127</v>
      </c>
      <c r="G271" s="2"/>
      <c r="H271" s="364" t="s">
        <v>16</v>
      </c>
      <c r="I271" s="365" t="s">
        <v>31</v>
      </c>
      <c r="J271" s="3" t="s">
        <v>32</v>
      </c>
      <c r="K271" s="3"/>
    </row>
    <row r="272" spans="1:11" ht="57.6" x14ac:dyDescent="0.3">
      <c r="A272" s="3" t="s">
        <v>741</v>
      </c>
      <c r="B272" s="3" t="str">
        <f>"024055028"</f>
        <v>024055028</v>
      </c>
      <c r="C272" s="3" t="s">
        <v>742</v>
      </c>
      <c r="D272" s="3" t="s">
        <v>743</v>
      </c>
      <c r="E272" s="3" t="s">
        <v>744</v>
      </c>
      <c r="F272" s="2">
        <v>43769</v>
      </c>
      <c r="G272" s="2"/>
      <c r="H272" s="366" t="s">
        <v>16</v>
      </c>
      <c r="I272" s="367" t="s">
        <v>31</v>
      </c>
      <c r="J272" s="3" t="s">
        <v>32</v>
      </c>
      <c r="K272" s="3"/>
    </row>
    <row r="273" spans="1:11" ht="57.6" x14ac:dyDescent="0.3">
      <c r="A273" s="3" t="s">
        <v>741</v>
      </c>
      <c r="B273" s="3" t="str">
        <f>"024055030"</f>
        <v>024055030</v>
      </c>
      <c r="C273" s="3" t="s">
        <v>742</v>
      </c>
      <c r="D273" s="3" t="s">
        <v>745</v>
      </c>
      <c r="E273" s="3" t="s">
        <v>744</v>
      </c>
      <c r="F273" s="2">
        <v>43982</v>
      </c>
      <c r="G273" s="2"/>
      <c r="H273" s="368" t="s">
        <v>16</v>
      </c>
      <c r="I273" s="369" t="s">
        <v>31</v>
      </c>
      <c r="J273" s="3" t="s">
        <v>32</v>
      </c>
      <c r="K273" s="3"/>
    </row>
    <row r="274" spans="1:11" ht="57.6" x14ac:dyDescent="0.3">
      <c r="A274" s="3" t="s">
        <v>741</v>
      </c>
      <c r="B274" s="3" t="str">
        <f>"024055055"</f>
        <v>024055055</v>
      </c>
      <c r="C274" s="3" t="s">
        <v>742</v>
      </c>
      <c r="D274" s="3" t="s">
        <v>746</v>
      </c>
      <c r="E274" s="3" t="s">
        <v>744</v>
      </c>
      <c r="F274" s="2">
        <v>43769</v>
      </c>
      <c r="G274" s="2"/>
      <c r="H274" s="370" t="s">
        <v>16</v>
      </c>
      <c r="I274" s="371" t="s">
        <v>31</v>
      </c>
      <c r="J274" s="3" t="s">
        <v>32</v>
      </c>
      <c r="K274" s="3"/>
    </row>
    <row r="275" spans="1:11" ht="57.6" x14ac:dyDescent="0.3">
      <c r="A275" s="3" t="s">
        <v>747</v>
      </c>
      <c r="B275" s="3" t="str">
        <f>"034957011"</f>
        <v>034957011</v>
      </c>
      <c r="C275" s="3" t="s">
        <v>748</v>
      </c>
      <c r="D275" s="3" t="s">
        <v>749</v>
      </c>
      <c r="E275" s="3" t="s">
        <v>662</v>
      </c>
      <c r="F275" s="2">
        <v>44043</v>
      </c>
      <c r="G275" s="2">
        <v>44255</v>
      </c>
      <c r="H275" s="372" t="s">
        <v>16</v>
      </c>
      <c r="I275" s="3" t="s">
        <v>20</v>
      </c>
      <c r="J275" s="3" t="s">
        <v>32</v>
      </c>
      <c r="K275" s="3"/>
    </row>
    <row r="276" spans="1:11" ht="57.6" x14ac:dyDescent="0.3">
      <c r="A276" s="3" t="s">
        <v>750</v>
      </c>
      <c r="B276" s="3" t="str">
        <f>"009896010"</f>
        <v>009896010</v>
      </c>
      <c r="C276" s="3" t="s">
        <v>751</v>
      </c>
      <c r="D276" s="3" t="s">
        <v>752</v>
      </c>
      <c r="E276" s="3" t="s">
        <v>753</v>
      </c>
      <c r="F276" s="2">
        <v>43101</v>
      </c>
      <c r="G276" s="2"/>
      <c r="H276" s="373" t="s">
        <v>16</v>
      </c>
      <c r="I276" s="374" t="s">
        <v>73</v>
      </c>
      <c r="J276" s="3" t="s">
        <v>32</v>
      </c>
      <c r="K276" s="3"/>
    </row>
    <row r="277" spans="1:11" ht="57.6" x14ac:dyDescent="0.3">
      <c r="A277" s="3" t="s">
        <v>754</v>
      </c>
      <c r="B277" s="3" t="str">
        <f>"007535026"</f>
        <v>007535026</v>
      </c>
      <c r="C277" s="3" t="s">
        <v>755</v>
      </c>
      <c r="D277" s="3" t="s">
        <v>756</v>
      </c>
      <c r="E277" s="3" t="s">
        <v>253</v>
      </c>
      <c r="F277" s="2">
        <v>41122</v>
      </c>
      <c r="G277" s="2"/>
      <c r="H277" s="375" t="s">
        <v>16</v>
      </c>
      <c r="I277" s="3" t="s">
        <v>20</v>
      </c>
      <c r="J277" s="3" t="s">
        <v>32</v>
      </c>
      <c r="K277" s="3"/>
    </row>
    <row r="278" spans="1:11" ht="57.6" x14ac:dyDescent="0.3">
      <c r="A278" s="3" t="s">
        <v>754</v>
      </c>
      <c r="B278" s="3" t="str">
        <f>"007535014"</f>
        <v>007535014</v>
      </c>
      <c r="C278" s="3" t="s">
        <v>755</v>
      </c>
      <c r="D278" s="3" t="s">
        <v>757</v>
      </c>
      <c r="E278" s="3" t="s">
        <v>253</v>
      </c>
      <c r="F278" s="2">
        <v>41122</v>
      </c>
      <c r="G278" s="2"/>
      <c r="H278" s="376" t="s">
        <v>16</v>
      </c>
      <c r="I278" s="3" t="s">
        <v>20</v>
      </c>
      <c r="J278" s="3" t="s">
        <v>32</v>
      </c>
      <c r="K278" s="3"/>
    </row>
    <row r="279" spans="1:11" ht="86.4" x14ac:dyDescent="0.3">
      <c r="A279" s="3" t="s">
        <v>758</v>
      </c>
      <c r="B279" s="3" t="str">
        <f>"037392014"</f>
        <v>037392014</v>
      </c>
      <c r="C279" s="3" t="s">
        <v>759</v>
      </c>
      <c r="D279" s="3" t="s">
        <v>760</v>
      </c>
      <c r="E279" s="3" t="s">
        <v>761</v>
      </c>
      <c r="F279" s="2">
        <v>43115</v>
      </c>
      <c r="G279" s="2">
        <v>44012</v>
      </c>
      <c r="H279" s="377" t="s">
        <v>16</v>
      </c>
      <c r="I279" s="3" t="s">
        <v>20</v>
      </c>
      <c r="J279" s="3" t="s">
        <v>32</v>
      </c>
      <c r="K279" s="3"/>
    </row>
    <row r="280" spans="1:11" ht="57.6" x14ac:dyDescent="0.3">
      <c r="A280" s="3" t="s">
        <v>762</v>
      </c>
      <c r="B280" s="3" t="str">
        <f>"027441031"</f>
        <v>027441031</v>
      </c>
      <c r="C280" s="3" t="s">
        <v>350</v>
      </c>
      <c r="D280" s="3" t="s">
        <v>763</v>
      </c>
      <c r="E280" s="3" t="s">
        <v>77</v>
      </c>
      <c r="F280" s="2">
        <v>43279</v>
      </c>
      <c r="G280" s="2"/>
      <c r="H280" s="378" t="s">
        <v>16</v>
      </c>
      <c r="I280" s="379" t="s">
        <v>31</v>
      </c>
      <c r="J280" s="3" t="s">
        <v>32</v>
      </c>
      <c r="K280" s="3"/>
    </row>
    <row r="281" spans="1:11" ht="57.6" x14ac:dyDescent="0.3">
      <c r="A281" s="3" t="s">
        <v>762</v>
      </c>
      <c r="B281" s="3" t="str">
        <f>"027441043"</f>
        <v>027441043</v>
      </c>
      <c r="C281" s="3" t="s">
        <v>350</v>
      </c>
      <c r="D281" s="3" t="s">
        <v>764</v>
      </c>
      <c r="E281" s="3" t="s">
        <v>77</v>
      </c>
      <c r="F281" s="2">
        <v>43091</v>
      </c>
      <c r="G281" s="2"/>
      <c r="H281" s="380" t="s">
        <v>16</v>
      </c>
      <c r="I281" s="381" t="s">
        <v>31</v>
      </c>
      <c r="J281" s="3" t="s">
        <v>32</v>
      </c>
      <c r="K281" s="3"/>
    </row>
    <row r="282" spans="1:11" ht="57.6" x14ac:dyDescent="0.3">
      <c r="A282" s="3" t="s">
        <v>762</v>
      </c>
      <c r="B282" s="3" t="str">
        <f>"027441056"</f>
        <v>027441056</v>
      </c>
      <c r="C282" s="3" t="s">
        <v>350</v>
      </c>
      <c r="D282" s="3" t="s">
        <v>765</v>
      </c>
      <c r="E282" s="3" t="s">
        <v>77</v>
      </c>
      <c r="F282" s="2">
        <v>43465</v>
      </c>
      <c r="G282" s="2"/>
      <c r="H282" s="382" t="s">
        <v>16</v>
      </c>
      <c r="I282" s="383" t="s">
        <v>31</v>
      </c>
      <c r="J282" s="3" t="s">
        <v>32</v>
      </c>
      <c r="K282" s="3"/>
    </row>
    <row r="283" spans="1:11" ht="43.2" x14ac:dyDescent="0.3">
      <c r="A283" s="3" t="s">
        <v>766</v>
      </c>
      <c r="B283" s="3" t="str">
        <f>"036374130"</f>
        <v>036374130</v>
      </c>
      <c r="C283" s="3" t="s">
        <v>767</v>
      </c>
      <c r="D283" s="3" t="s">
        <v>768</v>
      </c>
      <c r="E283" s="3" t="s">
        <v>769</v>
      </c>
      <c r="F283" s="2">
        <v>44137</v>
      </c>
      <c r="G283" s="2">
        <v>44227</v>
      </c>
      <c r="H283" s="384" t="s">
        <v>26</v>
      </c>
      <c r="I283" s="3" t="s">
        <v>104</v>
      </c>
      <c r="J283" s="3" t="s">
        <v>51</v>
      </c>
      <c r="K283" s="3"/>
    </row>
    <row r="284" spans="1:11" ht="57.6" x14ac:dyDescent="0.3">
      <c r="A284" s="3" t="s">
        <v>770</v>
      </c>
      <c r="B284" s="3" t="str">
        <f>"027096041"</f>
        <v>027096041</v>
      </c>
      <c r="C284" s="3" t="s">
        <v>771</v>
      </c>
      <c r="D284" s="3" t="s">
        <v>772</v>
      </c>
      <c r="E284" s="3" t="s">
        <v>773</v>
      </c>
      <c r="F284" s="2">
        <v>44105</v>
      </c>
      <c r="G284" s="2">
        <v>44166</v>
      </c>
      <c r="H284" s="385" t="s">
        <v>16</v>
      </c>
      <c r="I284" s="3" t="s">
        <v>20</v>
      </c>
      <c r="J284" s="3" t="s">
        <v>32</v>
      </c>
      <c r="K284" s="3"/>
    </row>
    <row r="285" spans="1:11" ht="72" x14ac:dyDescent="0.3">
      <c r="A285" s="3" t="s">
        <v>774</v>
      </c>
      <c r="B285" s="3" t="str">
        <f>"047629011"</f>
        <v>047629011</v>
      </c>
      <c r="C285" s="3" t="s">
        <v>775</v>
      </c>
      <c r="D285" s="3" t="s">
        <v>776</v>
      </c>
      <c r="E285" s="3" t="s">
        <v>200</v>
      </c>
      <c r="F285" s="2">
        <v>44105</v>
      </c>
      <c r="G285" s="2">
        <v>44227</v>
      </c>
      <c r="H285" s="386" t="s">
        <v>26</v>
      </c>
      <c r="I285" s="3" t="s">
        <v>42</v>
      </c>
      <c r="J285" s="3" t="s">
        <v>51</v>
      </c>
      <c r="K285" s="3"/>
    </row>
    <row r="286" spans="1:11" ht="57.6" x14ac:dyDescent="0.3">
      <c r="A286" s="3" t="s">
        <v>777</v>
      </c>
      <c r="B286" s="3" t="str">
        <f>"027860156"</f>
        <v>027860156</v>
      </c>
      <c r="C286" s="3" t="s">
        <v>778</v>
      </c>
      <c r="D286" s="3" t="s">
        <v>779</v>
      </c>
      <c r="E286" s="3" t="s">
        <v>77</v>
      </c>
      <c r="F286" s="2">
        <v>43892</v>
      </c>
      <c r="G286" s="2">
        <v>44196</v>
      </c>
      <c r="H286" s="387" t="s">
        <v>26</v>
      </c>
      <c r="I286" s="3" t="s">
        <v>122</v>
      </c>
      <c r="J286" s="3" t="s">
        <v>32</v>
      </c>
      <c r="K286" s="3"/>
    </row>
    <row r="287" spans="1:11" ht="57.6" x14ac:dyDescent="0.3">
      <c r="A287" s="3" t="s">
        <v>780</v>
      </c>
      <c r="B287" s="3" t="str">
        <f>"027612074"</f>
        <v>027612074</v>
      </c>
      <c r="C287" s="3" t="s">
        <v>781</v>
      </c>
      <c r="D287" s="3" t="s">
        <v>782</v>
      </c>
      <c r="E287" s="3" t="s">
        <v>260</v>
      </c>
      <c r="F287" s="2">
        <v>44227</v>
      </c>
      <c r="G287" s="2"/>
      <c r="H287" s="388" t="s">
        <v>16</v>
      </c>
      <c r="I287" s="389" t="s">
        <v>31</v>
      </c>
      <c r="J287" s="3" t="s">
        <v>32</v>
      </c>
      <c r="K287" s="3"/>
    </row>
    <row r="288" spans="1:11" ht="57.6" x14ac:dyDescent="0.3">
      <c r="A288" s="3" t="s">
        <v>783</v>
      </c>
      <c r="B288" s="3" t="str">
        <f>"025298136"</f>
        <v>025298136</v>
      </c>
      <c r="C288" s="3" t="s">
        <v>784</v>
      </c>
      <c r="D288" s="3" t="s">
        <v>785</v>
      </c>
      <c r="E288" s="3" t="s">
        <v>333</v>
      </c>
      <c r="F288" s="2">
        <v>40935</v>
      </c>
      <c r="G288" s="2"/>
      <c r="H288" s="390" t="s">
        <v>16</v>
      </c>
      <c r="I288" s="391" t="s">
        <v>31</v>
      </c>
      <c r="J288" s="3" t="s">
        <v>32</v>
      </c>
      <c r="K288" s="3"/>
    </row>
  </sheetData>
  <mergeCells count="2">
    <mergeCell ref="A2:K2"/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Carenze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Agenzia Italiana del Farmaco</dc:creator>
  <cp:lastModifiedBy>maionec</cp:lastModifiedBy>
  <dcterms:created xsi:type="dcterms:W3CDTF">2020-11-05T16:03:00Z</dcterms:created>
  <dcterms:modified xsi:type="dcterms:W3CDTF">2020-11-05T16:06:15Z</dcterms:modified>
</cp:coreProperties>
</file>